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Atcc-fs1\Programs\YFMAC-HD\Documentation\SPREADSHEET\"/>
    </mc:Choice>
  </mc:AlternateContent>
  <xr:revisionPtr revIDLastSave="0" documentId="8_{B9A903FD-DAE0-4C9E-A402-3BAEED2792BF}" xr6:coauthVersionLast="47" xr6:coauthVersionMax="47" xr10:uidLastSave="{00000000-0000-0000-0000-000000000000}"/>
  <workbookProtection workbookAlgorithmName="SHA-512" workbookHashValue="Kom4/CjcBAV3tX/fLejmllOdkTD5b72tmZuQcN+3w+MHXaEgz1jLor/UYE5Cazxt5hylOfkNxpc3YtiERtjaGg==" workbookSaltValue="Et6LqvhA5A1RDukN4UJ5Mg==" workbookSpinCount="100000" lockStructure="1"/>
  <bookViews>
    <workbookView xWindow="-120" yWindow="-120" windowWidth="29040" windowHeight="15840" tabRatio="819" activeTab="2" xr2:uid="{00000000-000D-0000-FFFF-FFFF00000000}"/>
  </bookViews>
  <sheets>
    <sheet name="Instructions" sheetId="11" r:id="rId1"/>
    <sheet name="Spreadsheet explanation" sheetId="21" r:id="rId2"/>
    <sheet name="YF MAC-HD" sheetId="7" r:id="rId3"/>
    <sheet name="YF MAC-HD control check" sheetId="8" state="hidden" r:id="rId4"/>
    <sheet name="Example YF MAC-HD (Spanish)" sheetId="37" r:id="rId5"/>
    <sheet name="YF MAC-ON" sheetId="2" r:id="rId6"/>
    <sheet name="Example YF MAC-ON (Spanish)" sheetId="38" r:id="rId7"/>
    <sheet name="YF MAC-ON control check" sheetId="4" state="hidden" r:id="rId8"/>
  </sheets>
  <definedNames>
    <definedName name="_xlnm.Print_Area" localSheetId="0">Instructions!$A$1:$X$48</definedName>
    <definedName name="_xlnm.Print_Area" localSheetId="1">'Spreadsheet explanation'!$A$1:$AD$140</definedName>
    <definedName name="_xlnm.Print_Area" localSheetId="2">'YF MAC-HD'!$A$1:$N$67</definedName>
    <definedName name="_xlnm.Print_Area" localSheetId="3">'YF MAC-HD control check'!$A$1:$L$29</definedName>
    <definedName name="_xlnm.Print_Area" localSheetId="5">'YF MAC-ON'!$A$1:$N$67</definedName>
    <definedName name="_xlnm.Print_Area" localSheetId="7">'YF MAC-ON control check'!$A$1:$J$30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" i="2" l="1"/>
  <c r="K45" i="2" s="1"/>
  <c r="L45" i="2" s="1"/>
  <c r="J48" i="2"/>
  <c r="K48" i="2" s="1"/>
  <c r="L48" i="2" s="1"/>
  <c r="J51" i="2"/>
  <c r="J54" i="2"/>
  <c r="J57" i="2"/>
  <c r="J60" i="2"/>
  <c r="K60" i="2" s="1"/>
  <c r="L60" i="2" s="1"/>
  <c r="J63" i="2"/>
  <c r="J42" i="2"/>
  <c r="K42" i="2" s="1"/>
  <c r="L42" i="2" s="1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42" i="7"/>
  <c r="K51" i="2"/>
  <c r="L51" i="2" s="1"/>
  <c r="K54" i="2"/>
  <c r="L54" i="2" s="1"/>
  <c r="K57" i="2"/>
  <c r="L57" i="2" s="1"/>
  <c r="K63" i="2"/>
  <c r="L63" i="2" s="1"/>
  <c r="E29" i="2"/>
  <c r="C29" i="2"/>
  <c r="J47" i="7"/>
  <c r="J49" i="7"/>
  <c r="J55" i="7"/>
  <c r="J57" i="7"/>
  <c r="J58" i="7"/>
  <c r="J63" i="7"/>
  <c r="J65" i="7"/>
  <c r="I43" i="7"/>
  <c r="J43" i="7" s="1"/>
  <c r="I44" i="7"/>
  <c r="J44" i="7" s="1"/>
  <c r="I45" i="7"/>
  <c r="J45" i="7" s="1"/>
  <c r="I46" i="7"/>
  <c r="J46" i="7" s="1"/>
  <c r="I47" i="7"/>
  <c r="I48" i="7"/>
  <c r="J48" i="7" s="1"/>
  <c r="I49" i="7"/>
  <c r="I50" i="7"/>
  <c r="J50" i="7" s="1"/>
  <c r="I51" i="7"/>
  <c r="J51" i="7" s="1"/>
  <c r="I52" i="7"/>
  <c r="J52" i="7" s="1"/>
  <c r="I53" i="7"/>
  <c r="J53" i="7" s="1"/>
  <c r="I54" i="7"/>
  <c r="J54" i="7" s="1"/>
  <c r="I55" i="7"/>
  <c r="I56" i="7"/>
  <c r="J56" i="7" s="1"/>
  <c r="I57" i="7"/>
  <c r="I58" i="7"/>
  <c r="I59" i="7"/>
  <c r="J59" i="7" s="1"/>
  <c r="I60" i="7"/>
  <c r="J60" i="7" s="1"/>
  <c r="I61" i="7"/>
  <c r="J61" i="7" s="1"/>
  <c r="I62" i="7"/>
  <c r="J62" i="7" s="1"/>
  <c r="I63" i="7"/>
  <c r="I64" i="7"/>
  <c r="J64" i="7" s="1"/>
  <c r="I65" i="7"/>
  <c r="I42" i="7"/>
  <c r="J42" i="7" s="1"/>
  <c r="E29" i="7"/>
  <c r="C29" i="7"/>
  <c r="U109" i="21"/>
  <c r="U110" i="21"/>
  <c r="T109" i="21"/>
  <c r="T110" i="21"/>
  <c r="T108" i="21"/>
  <c r="AC113" i="21"/>
  <c r="AB113" i="21"/>
  <c r="AA113" i="21"/>
  <c r="Z113" i="21"/>
  <c r="Y113" i="21"/>
  <c r="X113" i="21"/>
  <c r="W113" i="21"/>
  <c r="V113" i="21"/>
  <c r="U113" i="21"/>
  <c r="T113" i="21"/>
  <c r="AC112" i="21"/>
  <c r="AB112" i="21"/>
  <c r="AA112" i="21"/>
  <c r="Z112" i="21"/>
  <c r="Y112" i="21"/>
  <c r="X112" i="21"/>
  <c r="W112" i="21"/>
  <c r="V112" i="21"/>
  <c r="U112" i="21"/>
  <c r="T112" i="21"/>
  <c r="AC111" i="21"/>
  <c r="AB111" i="21"/>
  <c r="AA111" i="21"/>
  <c r="Z111" i="21"/>
  <c r="Y111" i="21"/>
  <c r="X111" i="21"/>
  <c r="W111" i="21"/>
  <c r="V111" i="21"/>
  <c r="U111" i="21"/>
  <c r="T111" i="21"/>
  <c r="AC110" i="21"/>
  <c r="AB110" i="21"/>
  <c r="AA110" i="21"/>
  <c r="Z110" i="21"/>
  <c r="Y110" i="21"/>
  <c r="X110" i="21"/>
  <c r="W110" i="21"/>
  <c r="V110" i="21"/>
  <c r="AC109" i="21"/>
  <c r="AB109" i="21"/>
  <c r="AA109" i="21"/>
  <c r="Z109" i="21"/>
  <c r="Y109" i="21"/>
  <c r="X109" i="21"/>
  <c r="W109" i="21"/>
  <c r="V109" i="21"/>
  <c r="AC108" i="21"/>
  <c r="AB108" i="21"/>
  <c r="AA108" i="21"/>
  <c r="Z108" i="21"/>
  <c r="Y108" i="21"/>
  <c r="X108" i="21"/>
  <c r="W108" i="21"/>
  <c r="V108" i="21"/>
  <c r="U108" i="21"/>
  <c r="O113" i="21"/>
  <c r="N113" i="21"/>
  <c r="M113" i="21"/>
  <c r="L113" i="21"/>
  <c r="K113" i="21"/>
  <c r="J113" i="21"/>
  <c r="I113" i="21"/>
  <c r="H113" i="21"/>
  <c r="G113" i="21"/>
  <c r="F113" i="21"/>
  <c r="O91" i="21"/>
  <c r="O112" i="21" s="1"/>
  <c r="N91" i="21"/>
  <c r="N112" i="21" s="1"/>
  <c r="M91" i="21"/>
  <c r="M112" i="21" s="1"/>
  <c r="L91" i="21"/>
  <c r="L112" i="21" s="1"/>
  <c r="K91" i="21"/>
  <c r="K112" i="21" s="1"/>
  <c r="J91" i="21"/>
  <c r="J112" i="21" s="1"/>
  <c r="I91" i="21"/>
  <c r="I112" i="21" s="1"/>
  <c r="H91" i="21"/>
  <c r="H112" i="21" s="1"/>
  <c r="G91" i="21"/>
  <c r="G112" i="21" s="1"/>
  <c r="F91" i="21"/>
  <c r="F112" i="21" s="1"/>
  <c r="O90" i="21"/>
  <c r="O111" i="21" s="1"/>
  <c r="N90" i="21"/>
  <c r="N111" i="21" s="1"/>
  <c r="M90" i="21"/>
  <c r="M111" i="21" s="1"/>
  <c r="L90" i="21"/>
  <c r="L111" i="21" s="1"/>
  <c r="K90" i="21"/>
  <c r="K111" i="21" s="1"/>
  <c r="J90" i="21"/>
  <c r="J111" i="21" s="1"/>
  <c r="I90" i="21"/>
  <c r="I111" i="21" s="1"/>
  <c r="H90" i="21"/>
  <c r="H111" i="21" s="1"/>
  <c r="G90" i="21"/>
  <c r="G111" i="21" s="1"/>
  <c r="F90" i="21"/>
  <c r="F111" i="21" s="1"/>
  <c r="O89" i="21"/>
  <c r="O110" i="21" s="1"/>
  <c r="N89" i="21"/>
  <c r="N110" i="21" s="1"/>
  <c r="M89" i="21"/>
  <c r="M110" i="21" s="1"/>
  <c r="L89" i="21"/>
  <c r="L110" i="21" s="1"/>
  <c r="K89" i="21"/>
  <c r="K110" i="21" s="1"/>
  <c r="J89" i="21"/>
  <c r="J110" i="21" s="1"/>
  <c r="I89" i="21"/>
  <c r="I110" i="21" s="1"/>
  <c r="H89" i="21"/>
  <c r="H110" i="21" s="1"/>
  <c r="G89" i="21"/>
  <c r="G110" i="21" s="1"/>
  <c r="F89" i="21"/>
  <c r="F110" i="21" s="1"/>
  <c r="O88" i="21"/>
  <c r="O109" i="21" s="1"/>
  <c r="N88" i="21"/>
  <c r="N109" i="21" s="1"/>
  <c r="M88" i="21"/>
  <c r="M109" i="21" s="1"/>
  <c r="L88" i="21"/>
  <c r="L109" i="21" s="1"/>
  <c r="K88" i="21"/>
  <c r="K109" i="21" s="1"/>
  <c r="J88" i="21"/>
  <c r="J109" i="21" s="1"/>
  <c r="I88" i="21"/>
  <c r="I109" i="21" s="1"/>
  <c r="H88" i="21"/>
  <c r="H109" i="21" s="1"/>
  <c r="G88" i="21"/>
  <c r="G109" i="21" s="1"/>
  <c r="F88" i="21"/>
  <c r="F109" i="21" s="1"/>
  <c r="O87" i="21"/>
  <c r="O108" i="21" s="1"/>
  <c r="N87" i="21"/>
  <c r="N108" i="21" s="1"/>
  <c r="M87" i="21"/>
  <c r="M108" i="21" s="1"/>
  <c r="L87" i="21"/>
  <c r="L108" i="21" s="1"/>
  <c r="K87" i="21"/>
  <c r="K108" i="21" s="1"/>
  <c r="J87" i="21"/>
  <c r="J108" i="21" s="1"/>
  <c r="I87" i="21"/>
  <c r="I108" i="21" s="1"/>
  <c r="H87" i="21"/>
  <c r="H108" i="21" s="1"/>
  <c r="G87" i="21"/>
  <c r="G108" i="21" s="1"/>
  <c r="F87" i="21"/>
  <c r="F108" i="21" s="1"/>
  <c r="O86" i="21"/>
  <c r="N86" i="21"/>
  <c r="M86" i="21"/>
  <c r="L86" i="21"/>
  <c r="K86" i="21"/>
  <c r="J86" i="21"/>
  <c r="I86" i="21"/>
  <c r="H86" i="21"/>
  <c r="G86" i="21"/>
  <c r="F86" i="21"/>
  <c r="O61" i="21"/>
  <c r="N61" i="21"/>
  <c r="M61" i="21"/>
  <c r="L61" i="21"/>
  <c r="K61" i="21"/>
  <c r="J61" i="21"/>
  <c r="I61" i="21"/>
  <c r="H61" i="21"/>
  <c r="G61" i="21"/>
  <c r="F61" i="21"/>
  <c r="O49" i="21"/>
  <c r="N49" i="21"/>
  <c r="M49" i="21"/>
  <c r="L49" i="21"/>
  <c r="K49" i="21"/>
  <c r="J49" i="21"/>
  <c r="I49" i="21"/>
  <c r="H49" i="21"/>
  <c r="G49" i="21"/>
  <c r="F49" i="21"/>
  <c r="O48" i="21"/>
  <c r="O66" i="21" s="1"/>
  <c r="N48" i="21"/>
  <c r="N66" i="21" s="1"/>
  <c r="M48" i="21"/>
  <c r="M66" i="21" s="1"/>
  <c r="L48" i="21"/>
  <c r="L66" i="21" s="1"/>
  <c r="K48" i="21"/>
  <c r="K66" i="21" s="1"/>
  <c r="J48" i="21"/>
  <c r="J66" i="21" s="1"/>
  <c r="I48" i="21"/>
  <c r="I66" i="21" s="1"/>
  <c r="H48" i="21"/>
  <c r="H66" i="21" s="1"/>
  <c r="G48" i="21"/>
  <c r="G66" i="21" s="1"/>
  <c r="F48" i="21"/>
  <c r="F66" i="21" s="1"/>
  <c r="O47" i="21"/>
  <c r="O65" i="21" s="1"/>
  <c r="N47" i="21"/>
  <c r="N65" i="21" s="1"/>
  <c r="M47" i="21"/>
  <c r="M65" i="21" s="1"/>
  <c r="L47" i="21"/>
  <c r="L65" i="21" s="1"/>
  <c r="K47" i="21"/>
  <c r="K65" i="21" s="1"/>
  <c r="J47" i="21"/>
  <c r="J65" i="21" s="1"/>
  <c r="I47" i="21"/>
  <c r="I65" i="21" s="1"/>
  <c r="H47" i="21"/>
  <c r="H65" i="21" s="1"/>
  <c r="G47" i="21"/>
  <c r="G65" i="21" s="1"/>
  <c r="F47" i="21"/>
  <c r="F65" i="21" s="1"/>
  <c r="O46" i="21"/>
  <c r="O64" i="21" s="1"/>
  <c r="N46" i="21"/>
  <c r="N64" i="21" s="1"/>
  <c r="M46" i="21"/>
  <c r="M64" i="21" s="1"/>
  <c r="L46" i="21"/>
  <c r="L64" i="21" s="1"/>
  <c r="K46" i="21"/>
  <c r="K64" i="21" s="1"/>
  <c r="J46" i="21"/>
  <c r="J64" i="21" s="1"/>
  <c r="I46" i="21"/>
  <c r="I64" i="21" s="1"/>
  <c r="H46" i="21"/>
  <c r="H64" i="21" s="1"/>
  <c r="G46" i="21"/>
  <c r="G64" i="21" s="1"/>
  <c r="F46" i="21"/>
  <c r="F64" i="21" s="1"/>
  <c r="O45" i="21"/>
  <c r="O63" i="21" s="1"/>
  <c r="N45" i="21"/>
  <c r="N63" i="21" s="1"/>
  <c r="M45" i="21"/>
  <c r="M63" i="21" s="1"/>
  <c r="L45" i="21"/>
  <c r="L63" i="21" s="1"/>
  <c r="K45" i="21"/>
  <c r="K63" i="21" s="1"/>
  <c r="J45" i="21"/>
  <c r="J63" i="21" s="1"/>
  <c r="I45" i="21"/>
  <c r="I63" i="21" s="1"/>
  <c r="H45" i="21"/>
  <c r="H63" i="21" s="1"/>
  <c r="G45" i="21"/>
  <c r="G63" i="21" s="1"/>
  <c r="F45" i="21"/>
  <c r="F63" i="21" s="1"/>
  <c r="O44" i="21"/>
  <c r="O62" i="21" s="1"/>
  <c r="N44" i="21"/>
  <c r="N62" i="21" s="1"/>
  <c r="M44" i="21"/>
  <c r="M62" i="21" s="1"/>
  <c r="L44" i="21"/>
  <c r="L62" i="21" s="1"/>
  <c r="K44" i="21"/>
  <c r="K62" i="21" s="1"/>
  <c r="J44" i="21"/>
  <c r="J62" i="21" s="1"/>
  <c r="I44" i="21"/>
  <c r="I62" i="21" s="1"/>
  <c r="H44" i="21"/>
  <c r="H62" i="21" s="1"/>
  <c r="G44" i="21"/>
  <c r="G62" i="21" s="1"/>
  <c r="F44" i="21"/>
  <c r="F62" i="21" s="1"/>
  <c r="C11" i="7"/>
  <c r="J20" i="7" s="1"/>
  <c r="E15" i="7" l="1"/>
  <c r="E19" i="7"/>
  <c r="D16" i="7"/>
  <c r="L16" i="7"/>
  <c r="J17" i="7"/>
  <c r="H18" i="7"/>
  <c r="F19" i="7"/>
  <c r="D20" i="7"/>
  <c r="L20" i="7"/>
  <c r="K16" i="7"/>
  <c r="K20" i="7"/>
  <c r="G15" i="7"/>
  <c r="E16" i="7"/>
  <c r="C17" i="7"/>
  <c r="K17" i="7"/>
  <c r="I18" i="7"/>
  <c r="G19" i="7"/>
  <c r="E20" i="7"/>
  <c r="I17" i="7"/>
  <c r="C20" i="7"/>
  <c r="F15" i="7"/>
  <c r="H15" i="7"/>
  <c r="F16" i="7"/>
  <c r="D17" i="7"/>
  <c r="L17" i="7"/>
  <c r="J18" i="7"/>
  <c r="H19" i="7"/>
  <c r="F20" i="7"/>
  <c r="G18" i="7"/>
  <c r="I15" i="7"/>
  <c r="G16" i="7"/>
  <c r="E17" i="7"/>
  <c r="C18" i="7"/>
  <c r="K18" i="7"/>
  <c r="I19" i="7"/>
  <c r="G20" i="7"/>
  <c r="J15" i="7"/>
  <c r="H16" i="7"/>
  <c r="F17" i="7"/>
  <c r="D18" i="7"/>
  <c r="L18" i="7"/>
  <c r="J19" i="7"/>
  <c r="H20" i="7"/>
  <c r="C15" i="7"/>
  <c r="K15" i="7"/>
  <c r="I16" i="7"/>
  <c r="G17" i="7"/>
  <c r="E18" i="7"/>
  <c r="C19" i="7"/>
  <c r="K19" i="7"/>
  <c r="I20" i="7"/>
  <c r="C16" i="7"/>
  <c r="D15" i="7"/>
  <c r="L15" i="7"/>
  <c r="J16" i="7"/>
  <c r="H17" i="7"/>
  <c r="F18" i="7"/>
  <c r="D19" i="7"/>
  <c r="L19" i="7"/>
  <c r="B13" i="8" l="1"/>
  <c r="B11" i="8"/>
  <c r="B12" i="8"/>
  <c r="B22" i="8"/>
  <c r="B21" i="8"/>
  <c r="B23" i="8"/>
  <c r="C13" i="8" l="1"/>
  <c r="C11" i="8"/>
  <c r="C12" i="8"/>
  <c r="E12" i="8" s="1"/>
  <c r="F12" i="8" s="1"/>
  <c r="B2" i="8"/>
  <c r="B3" i="8"/>
  <c r="B4" i="8"/>
  <c r="E11" i="8" l="1"/>
  <c r="C2" i="8"/>
  <c r="C4" i="8"/>
  <c r="C3" i="8"/>
  <c r="C23" i="8"/>
  <c r="C21" i="8"/>
  <c r="C22" i="8"/>
  <c r="G11" i="8" l="1"/>
  <c r="G14" i="8"/>
  <c r="F11" i="8"/>
  <c r="E3" i="8"/>
  <c r="F3" i="8" s="1"/>
  <c r="E22" i="8"/>
  <c r="F22" i="8" s="1"/>
  <c r="E21" i="8"/>
  <c r="E2" i="8"/>
  <c r="C11" i="2"/>
  <c r="L20" i="2" s="1"/>
  <c r="C26" i="7" l="1"/>
  <c r="D17" i="2"/>
  <c r="D16" i="2"/>
  <c r="G15" i="8"/>
  <c r="H11" i="8"/>
  <c r="H14" i="8" s="1"/>
  <c r="G5" i="8"/>
  <c r="F2" i="8"/>
  <c r="G2" i="8"/>
  <c r="F21" i="8"/>
  <c r="I21" i="8" s="1"/>
  <c r="G24" i="8"/>
  <c r="G21" i="8"/>
  <c r="J20" i="2"/>
  <c r="K16" i="2"/>
  <c r="B3" i="4" s="1"/>
  <c r="K20" i="2"/>
  <c r="B13" i="4" s="1"/>
  <c r="K19" i="2"/>
  <c r="B12" i="4" s="1"/>
  <c r="K17" i="2"/>
  <c r="B4" i="4" s="1"/>
  <c r="K18" i="2"/>
  <c r="B11" i="4" s="1"/>
  <c r="F15" i="2"/>
  <c r="D15" i="2"/>
  <c r="L15" i="2"/>
  <c r="B21" i="4" s="1"/>
  <c r="J16" i="2"/>
  <c r="L17" i="2"/>
  <c r="B23" i="4" s="1"/>
  <c r="F18" i="2"/>
  <c r="D19" i="2"/>
  <c r="E15" i="2"/>
  <c r="I15" i="2"/>
  <c r="C16" i="2"/>
  <c r="G16" i="2"/>
  <c r="E17" i="2"/>
  <c r="I17" i="2"/>
  <c r="C18" i="2"/>
  <c r="G18" i="2"/>
  <c r="E19" i="2"/>
  <c r="I19" i="2"/>
  <c r="C20" i="2"/>
  <c r="G20" i="2"/>
  <c r="J15" i="2"/>
  <c r="H16" i="2"/>
  <c r="L16" i="2"/>
  <c r="B22" i="4" s="1"/>
  <c r="F17" i="2"/>
  <c r="J17" i="2"/>
  <c r="D18" i="2"/>
  <c r="H18" i="2"/>
  <c r="L18" i="2"/>
  <c r="F19" i="2"/>
  <c r="J19" i="2"/>
  <c r="D20" i="2"/>
  <c r="H20" i="2"/>
  <c r="C15" i="2"/>
  <c r="G15" i="2"/>
  <c r="K15" i="2"/>
  <c r="B2" i="4" s="1"/>
  <c r="E16" i="2"/>
  <c r="I16" i="2"/>
  <c r="C17" i="2"/>
  <c r="G17" i="2"/>
  <c r="E18" i="2"/>
  <c r="I18" i="2"/>
  <c r="C19" i="2"/>
  <c r="G19" i="2"/>
  <c r="E20" i="2"/>
  <c r="I20" i="2"/>
  <c r="H15" i="2"/>
  <c r="F16" i="2"/>
  <c r="H17" i="2"/>
  <c r="J18" i="2"/>
  <c r="H19" i="2"/>
  <c r="L19" i="2"/>
  <c r="F20" i="2"/>
  <c r="C24" i="7" l="1"/>
  <c r="G17" i="8"/>
  <c r="G16" i="8"/>
  <c r="G25" i="8"/>
  <c r="H21" i="8"/>
  <c r="G26" i="8" s="1"/>
  <c r="G27" i="8" s="1"/>
  <c r="H2" i="8"/>
  <c r="G6" i="8"/>
  <c r="C12" i="4"/>
  <c r="C11" i="4"/>
  <c r="C13" i="4"/>
  <c r="C22" i="4"/>
  <c r="C21" i="4"/>
  <c r="C23" i="4"/>
  <c r="C3" i="4"/>
  <c r="C2" i="4"/>
  <c r="C4" i="4"/>
  <c r="C28" i="7" l="1"/>
  <c r="G18" i="8"/>
  <c r="H16" i="8"/>
  <c r="H5" i="8"/>
  <c r="E24" i="7" s="1"/>
  <c r="G7" i="8"/>
  <c r="G8" i="8" s="1"/>
  <c r="E12" i="4"/>
  <c r="F12" i="4" s="1"/>
  <c r="E2" i="4"/>
  <c r="F2" i="4" s="1"/>
  <c r="E21" i="4"/>
  <c r="F21" i="4" s="1"/>
  <c r="E11" i="4"/>
  <c r="E22" i="4"/>
  <c r="F22" i="4" s="1"/>
  <c r="E3" i="4"/>
  <c r="F3" i="4" s="1"/>
  <c r="C27" i="7" l="1"/>
  <c r="C25" i="7"/>
  <c r="C30" i="7" s="1"/>
  <c r="E30" i="7" s="1"/>
  <c r="E27" i="7"/>
  <c r="H17" i="8"/>
  <c r="I21" i="4"/>
  <c r="F11" i="4"/>
  <c r="G11" i="4"/>
  <c r="G14" i="4"/>
  <c r="C26" i="2" s="1"/>
  <c r="H7" i="8"/>
  <c r="G21" i="4"/>
  <c r="G25" i="4" s="1"/>
  <c r="G24" i="4"/>
  <c r="G5" i="4"/>
  <c r="C24" i="2" s="1"/>
  <c r="G2" i="4"/>
  <c r="E26" i="7" l="1"/>
  <c r="E25" i="7"/>
  <c r="H21" i="4"/>
  <c r="G26" i="4"/>
  <c r="G27" i="4" s="1"/>
  <c r="C28" i="2" s="1"/>
  <c r="H2" i="4"/>
  <c r="H5" i="4" s="1"/>
  <c r="E24" i="2" s="1"/>
  <c r="G6" i="4"/>
  <c r="G7" i="4" s="1"/>
  <c r="H11" i="4"/>
  <c r="H14" i="4" s="1"/>
  <c r="G15" i="4"/>
  <c r="E31" i="7" l="1"/>
  <c r="G8" i="4"/>
  <c r="C25" i="2" s="1"/>
  <c r="H7" i="4"/>
  <c r="E25" i="2" s="1"/>
  <c r="G16" i="4"/>
  <c r="G17" i="4"/>
  <c r="G59" i="7" l="1"/>
  <c r="D51" i="7"/>
  <c r="E51" i="7" s="1"/>
  <c r="D49" i="7"/>
  <c r="E49" i="7" s="1"/>
  <c r="G46" i="7"/>
  <c r="D45" i="7"/>
  <c r="E45" i="7" s="1"/>
  <c r="G62" i="7"/>
  <c r="G58" i="7"/>
  <c r="G63" i="7"/>
  <c r="G65" i="7"/>
  <c r="D53" i="7"/>
  <c r="E53" i="7" s="1"/>
  <c r="G64" i="7"/>
  <c r="D46" i="7"/>
  <c r="E46" i="7" s="1"/>
  <c r="G48" i="7"/>
  <c r="D63" i="7"/>
  <c r="E63" i="7" s="1"/>
  <c r="D43" i="7"/>
  <c r="E43" i="7" s="1"/>
  <c r="D65" i="7"/>
  <c r="E65" i="7" s="1"/>
  <c r="D44" i="7"/>
  <c r="E44" i="7" s="1"/>
  <c r="G42" i="7"/>
  <c r="D50" i="7"/>
  <c r="G49" i="7"/>
  <c r="D64" i="7"/>
  <c r="E64" i="7" s="1"/>
  <c r="G61" i="7"/>
  <c r="D47" i="7"/>
  <c r="E47" i="7" s="1"/>
  <c r="D56" i="7"/>
  <c r="E56" i="7" s="1"/>
  <c r="D48" i="7"/>
  <c r="G45" i="7"/>
  <c r="D60" i="7"/>
  <c r="E60" i="7" s="1"/>
  <c r="D57" i="7"/>
  <c r="E57" i="7" s="1"/>
  <c r="G52" i="7"/>
  <c r="G43" i="7"/>
  <c r="G56" i="7"/>
  <c r="G60" i="7"/>
  <c r="G53" i="7"/>
  <c r="G44" i="7"/>
  <c r="G47" i="7"/>
  <c r="D54" i="7"/>
  <c r="E54" i="7" s="1"/>
  <c r="G54" i="7"/>
  <c r="G55" i="7"/>
  <c r="D62" i="7"/>
  <c r="E62" i="7" s="1"/>
  <c r="D55" i="7"/>
  <c r="E55" i="7" s="1"/>
  <c r="D42" i="7"/>
  <c r="E42" i="7" s="1"/>
  <c r="G51" i="7"/>
  <c r="D52" i="7"/>
  <c r="E52" i="7" s="1"/>
  <c r="G57" i="7"/>
  <c r="D61" i="7"/>
  <c r="E61" i="7" s="1"/>
  <c r="D59" i="7"/>
  <c r="E59" i="7" s="1"/>
  <c r="D58" i="7"/>
  <c r="E58" i="7" s="1"/>
  <c r="G50" i="7"/>
  <c r="E50" i="7"/>
  <c r="G18" i="4"/>
  <c r="C27" i="2" s="1"/>
  <c r="C30" i="2" s="1"/>
  <c r="E30" i="2" s="1"/>
  <c r="H16" i="4"/>
  <c r="E27" i="2" s="1"/>
  <c r="E48" i="7" l="1"/>
  <c r="H17" i="4"/>
  <c r="E26" i="2" l="1"/>
  <c r="E31" i="2" s="1"/>
  <c r="D42" i="2" l="1"/>
  <c r="H42" i="2"/>
  <c r="D43" i="2"/>
  <c r="H43" i="2"/>
  <c r="D44" i="2"/>
  <c r="H44" i="2"/>
  <c r="H58" i="2"/>
  <c r="H53" i="2"/>
  <c r="D49" i="2"/>
  <c r="H65" i="2"/>
  <c r="H59" i="2"/>
  <c r="D46" i="2"/>
  <c r="D65" i="2"/>
  <c r="H63" i="2"/>
  <c r="H60" i="2"/>
  <c r="D54" i="2"/>
  <c r="D45" i="2"/>
  <c r="D48" i="2"/>
  <c r="D63" i="2"/>
  <c r="D47" i="2"/>
  <c r="D52" i="2"/>
  <c r="H62" i="2"/>
  <c r="D64" i="2"/>
  <c r="D56" i="2"/>
  <c r="H64" i="2"/>
  <c r="H46" i="2"/>
  <c r="H49" i="2"/>
  <c r="D53" i="2"/>
  <c r="D59" i="2"/>
  <c r="H51" i="2"/>
  <c r="H54" i="2"/>
  <c r="D51" i="2"/>
  <c r="H61" i="2"/>
  <c r="H47" i="2"/>
  <c r="H48" i="2"/>
  <c r="D57" i="2"/>
  <c r="D58" i="2"/>
  <c r="H56" i="2"/>
  <c r="D62" i="2"/>
  <c r="D55" i="2"/>
  <c r="H50" i="2"/>
  <c r="H52" i="2"/>
  <c r="D61" i="2"/>
  <c r="H45" i="2"/>
  <c r="H57" i="2"/>
  <c r="D60" i="2"/>
  <c r="D50" i="2"/>
  <c r="H55" i="2"/>
  <c r="E42" i="2" l="1"/>
  <c r="I42" i="2"/>
  <c r="I57" i="2"/>
  <c r="E45" i="2"/>
  <c r="E57" i="2"/>
  <c r="I45" i="2"/>
  <c r="I51" i="2"/>
  <c r="E54" i="2"/>
  <c r="E63" i="2"/>
  <c r="I60" i="2"/>
  <c r="I54" i="2"/>
  <c r="E60" i="2"/>
  <c r="I48" i="2"/>
  <c r="E51" i="2"/>
  <c r="E48" i="2"/>
  <c r="F48" i="2" s="1"/>
  <c r="I63" i="2"/>
  <c r="F42" i="2" l="1"/>
  <c r="F57" i="2"/>
  <c r="F45" i="2"/>
  <c r="F63" i="2"/>
  <c r="F51" i="2"/>
  <c r="F60" i="2"/>
  <c r="F54" i="2"/>
</calcChain>
</file>

<file path=xl/sharedStrings.xml><?xml version="1.0" encoding="utf-8"?>
<sst xmlns="http://schemas.openxmlformats.org/spreadsheetml/2006/main" count="473" uniqueCount="208">
  <si>
    <t>P/N</t>
  </si>
  <si>
    <t>PCVA</t>
  </si>
  <si>
    <t>PCNA</t>
  </si>
  <si>
    <t>NBR</t>
  </si>
  <si>
    <t>NBR (PCVA/PCNA)</t>
  </si>
  <si>
    <t>NCVA</t>
  </si>
  <si>
    <t>data</t>
  </si>
  <si>
    <t>input cell</t>
  </si>
  <si>
    <t>values</t>
  </si>
  <si>
    <t>VA OD</t>
  </si>
  <si>
    <t>NA OD</t>
  </si>
  <si>
    <t>Blank OD A1:D1</t>
  </si>
  <si>
    <t>Controls</t>
  </si>
  <si>
    <t>≥2</t>
  </si>
  <si>
    <t>K15</t>
  </si>
  <si>
    <t>K16</t>
  </si>
  <si>
    <t>Cell</t>
  </si>
  <si>
    <t>C15</t>
  </si>
  <si>
    <t>C16</t>
  </si>
  <si>
    <t>C17</t>
  </si>
  <si>
    <t>C18</t>
  </si>
  <si>
    <t>C19</t>
  </si>
  <si>
    <t>E15</t>
  </si>
  <si>
    <t>E16</t>
  </si>
  <si>
    <t>E17</t>
  </si>
  <si>
    <t>E18</t>
  </si>
  <si>
    <t>E19</t>
  </si>
  <si>
    <t>G15</t>
  </si>
  <si>
    <t>G16</t>
  </si>
  <si>
    <t>G17</t>
  </si>
  <si>
    <t>G18</t>
  </si>
  <si>
    <t>G19</t>
  </si>
  <si>
    <t>I15</t>
  </si>
  <si>
    <t>I16</t>
  </si>
  <si>
    <t>I17</t>
  </si>
  <si>
    <t>I18</t>
  </si>
  <si>
    <t>I19</t>
  </si>
  <si>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0.6</t>
    </r>
  </si>
  <si>
    <t>&lt;0.2</t>
  </si>
  <si>
    <t>PCVA-VL</t>
  </si>
  <si>
    <t>&lt;0.3</t>
  </si>
  <si>
    <t>NCVA-VL</t>
  </si>
  <si>
    <t>&lt;0.025</t>
  </si>
  <si>
    <t>Max/med/min</t>
  </si>
  <si>
    <t>Diff</t>
  </si>
  <si>
    <t>MAX</t>
  </si>
  <si>
    <t>MED</t>
  </si>
  <si>
    <t>MIN</t>
  </si>
  <si>
    <t>IF &lt;0.3 AVG of values</t>
  </si>
  <si>
    <t>AVG of all 3 replicates if not &gt;VL</t>
  </si>
  <si>
    <t>PCVA-VL-----------------&gt;</t>
  </si>
  <si>
    <t>PCVA-----------------------&gt;</t>
  </si>
  <si>
    <t>IF &lt;0.025 AVG of values</t>
  </si>
  <si>
    <t>NCVA-VL-----------------&gt;</t>
  </si>
  <si>
    <t>NCVA @0.05 if applicable--&gt;</t>
  </si>
  <si>
    <t>PCNA-----------------------&gt;</t>
  </si>
  <si>
    <t>PCNA-min diff value--------&gt;</t>
  </si>
  <si>
    <t>PCNA-Variation</t>
  </si>
  <si>
    <t>≥3</t>
  </si>
  <si>
    <t>≥0.6</t>
  </si>
  <si>
    <t>NCVA-------&gt;</t>
  </si>
  <si>
    <t>Average of all 3 replicates if none are &lt;0.3 diff</t>
  </si>
  <si>
    <t>PCVA rounded down</t>
  </si>
  <si>
    <t>PCVA rounded down----&gt;</t>
  </si>
  <si>
    <t>NCVA-----------&gt;</t>
  </si>
  <si>
    <t>NCVA if &lt;VL-------&gt;</t>
  </si>
  <si>
    <t>NCVA if &lt;VL_------&gt;</t>
  </si>
  <si>
    <t>Avg of 3 if all &lt;VL, if not, avg of 2 that are lowest</t>
  </si>
  <si>
    <t>Avg of 3 if all &lt;VL, if not, avg of 2 that are &lt;VL</t>
  </si>
  <si>
    <t>NEG</t>
  </si>
  <si>
    <t>POS</t>
  </si>
  <si>
    <t>EQ</t>
  </si>
  <si>
    <t>YF MAC-HD CALCULATIONS SHEET</t>
  </si>
  <si>
    <t>≥2.0</t>
  </si>
  <si>
    <t>≥1.5</t>
  </si>
  <si>
    <t>≥1.5 - &lt;2.0</t>
  </si>
  <si>
    <t>ANY</t>
  </si>
  <si>
    <t>&lt;1.5</t>
  </si>
  <si>
    <t>≥3.0</t>
  </si>
  <si>
    <t>≥2.0 - &lt;3.0</t>
  </si>
  <si>
    <t>&lt;2.0</t>
  </si>
  <si>
    <t>YF MAC-HD</t>
  </si>
  <si>
    <t>YF MAC-ON</t>
  </si>
  <si>
    <t>VA (or YFVA)</t>
  </si>
  <si>
    <t>NA</t>
  </si>
  <si>
    <t xml:space="preserve"> </t>
  </si>
  <si>
    <r>
      <t>•</t>
    </r>
    <r>
      <rPr>
        <b/>
        <sz val="12"/>
        <color rgb="FF000000"/>
        <rFont val="Calibri"/>
        <family val="2"/>
      </rPr>
      <t xml:space="preserve">NBR for PC </t>
    </r>
    <r>
      <rPr>
        <sz val="12"/>
        <color rgb="FF000000"/>
        <rFont val="Calibri"/>
        <family val="2"/>
      </rPr>
      <t xml:space="preserve">= </t>
    </r>
    <r>
      <rPr>
        <u/>
        <sz val="12"/>
        <color rgb="FF000000"/>
        <rFont val="Calibri"/>
        <family val="2"/>
      </rPr>
      <t xml:space="preserve">PCVA </t>
    </r>
  </si>
  <si>
    <t xml:space="preserve">                             PCNA </t>
  </si>
  <si>
    <t>A</t>
  </si>
  <si>
    <t>B</t>
  </si>
  <si>
    <t>C</t>
  </si>
  <si>
    <t>D</t>
  </si>
  <si>
    <t>E</t>
  </si>
  <si>
    <t>F</t>
  </si>
  <si>
    <t>G</t>
  </si>
  <si>
    <t>H</t>
  </si>
  <si>
    <t>K17</t>
  </si>
  <si>
    <t>K18</t>
  </si>
  <si>
    <t>K19</t>
  </si>
  <si>
    <t>K20</t>
  </si>
  <si>
    <t>L15</t>
  </si>
  <si>
    <t>L16</t>
  </si>
  <si>
    <t>L17</t>
  </si>
  <si>
    <t>C20</t>
  </si>
  <si>
    <t>E20</t>
  </si>
  <si>
    <t>G20</t>
  </si>
  <si>
    <t>I20</t>
  </si>
  <si>
    <t xml:space="preserve">             Muestra 1</t>
  </si>
  <si>
    <t xml:space="preserve">             Muestra 2</t>
  </si>
  <si>
    <t xml:space="preserve">             Muestra 3</t>
  </si>
  <si>
    <t xml:space="preserve">             Muestra 4</t>
  </si>
  <si>
    <t xml:space="preserve">             Muestra 5</t>
  </si>
  <si>
    <t xml:space="preserve">             Muestra 6</t>
  </si>
  <si>
    <t xml:space="preserve">             Muestra 7</t>
  </si>
  <si>
    <t xml:space="preserve">             Muestra 8</t>
  </si>
  <si>
    <t xml:space="preserve">             Muestra 9</t>
  </si>
  <si>
    <t xml:space="preserve">             Muestra 10</t>
  </si>
  <si>
    <t xml:space="preserve">             Muestra 11</t>
  </si>
  <si>
    <t xml:space="preserve">             Muestra 12</t>
  </si>
  <si>
    <t xml:space="preserve">             Muestra 13</t>
  </si>
  <si>
    <t xml:space="preserve">             Muestra 14</t>
  </si>
  <si>
    <t xml:space="preserve">             Muestra 15</t>
  </si>
  <si>
    <t xml:space="preserve">             Muestra 16</t>
  </si>
  <si>
    <t xml:space="preserve">             Muestra 17</t>
  </si>
  <si>
    <t xml:space="preserve">             Muestra 18</t>
  </si>
  <si>
    <t xml:space="preserve">             Muestra 19</t>
  </si>
  <si>
    <t xml:space="preserve">             Muestra 20</t>
  </si>
  <si>
    <t xml:space="preserve">             Muestra 21</t>
  </si>
  <si>
    <t xml:space="preserve">             Muestra 22</t>
  </si>
  <si>
    <t xml:space="preserve">             Muestra 23</t>
  </si>
  <si>
    <t xml:space="preserve">             Muestra 24</t>
  </si>
  <si>
    <t>Control Positivo en VA</t>
  </si>
  <si>
    <t>Control Negativo en VA</t>
  </si>
  <si>
    <t>Control Positivo en NA</t>
  </si>
  <si>
    <t>Control Negativo en NA</t>
  </si>
  <si>
    <t xml:space="preserve">            Muestra 1</t>
  </si>
  <si>
    <t xml:space="preserve">            Muestra 2</t>
  </si>
  <si>
    <t xml:space="preserve">           Muestra 3</t>
  </si>
  <si>
    <t xml:space="preserve">            Muestra 4</t>
  </si>
  <si>
    <t xml:space="preserve">            Muestra 5</t>
  </si>
  <si>
    <t xml:space="preserve">            Muestra 6</t>
  </si>
  <si>
    <t xml:space="preserve">           Muestra 7</t>
  </si>
  <si>
    <t xml:space="preserve">           Muestra 8</t>
  </si>
  <si>
    <t>VA (o YFVA)</t>
  </si>
  <si>
    <t>Pozos vacios</t>
  </si>
  <si>
    <t>PEGAR COMO "VALORES"</t>
  </si>
  <si>
    <t>PEGAR OD EN LA PARTE SUPERIOR</t>
  </si>
  <si>
    <t>CELDAS DE COLOR AMARILLO</t>
  </si>
  <si>
    <t>AUTOMÁTICAMENTE</t>
  </si>
  <si>
    <t xml:space="preserve">EN BLANCO RESULTADOS
</t>
  </si>
  <si>
    <t>DE LAS pestañas YF MAC-HD y</t>
  </si>
  <si>
    <t xml:space="preserve"> YF MAC-ON NO UTILICE</t>
  </si>
  <si>
    <t>Blanco OD A1:D1</t>
  </si>
  <si>
    <t>Criterios de aceptación del ensayo</t>
  </si>
  <si>
    <r>
      <t>•</t>
    </r>
    <r>
      <rPr>
        <b/>
        <sz val="12"/>
        <color rgb="FF000000"/>
        <rFont val="Calibri"/>
        <family val="2"/>
      </rPr>
      <t xml:space="preserve">P/N </t>
    </r>
    <r>
      <rPr>
        <sz val="12"/>
        <color rgb="FF000000"/>
        <rFont val="Calibri"/>
        <family val="2"/>
      </rPr>
      <t xml:space="preserve">=  </t>
    </r>
    <r>
      <rPr>
        <u/>
        <sz val="12"/>
        <color rgb="FF000000"/>
        <rFont val="Calibri"/>
        <family val="2"/>
      </rPr>
      <t>Absorbancia promedio con antígeno viral</t>
    </r>
  </si>
  <si>
    <t xml:space="preserve">                    Absorbancia promedio del control negativo con antígeno viral</t>
  </si>
  <si>
    <r>
      <t>•</t>
    </r>
    <r>
      <rPr>
        <b/>
        <sz val="12"/>
        <color rgb="FF000000"/>
        <rFont val="Calibri"/>
        <family val="2"/>
      </rPr>
      <t>P/N para muestra(s)</t>
    </r>
    <r>
      <rPr>
        <sz val="12"/>
        <color rgb="FF000000"/>
        <rFont val="Calibri"/>
        <family val="2"/>
      </rPr>
      <t>= Promedio</t>
    </r>
    <r>
      <rPr>
        <u/>
        <sz val="12"/>
        <color rgb="FF000000"/>
        <rFont val="Calibri"/>
        <family val="2"/>
      </rPr>
      <t xml:space="preserve"> VA OD</t>
    </r>
  </si>
  <si>
    <r>
      <t xml:space="preserve">          </t>
    </r>
    <r>
      <rPr>
        <sz val="12"/>
        <color theme="1"/>
        <rFont val="Calibri"/>
        <family val="2"/>
      </rPr>
      <t xml:space="preserve">                    NCVA </t>
    </r>
    <r>
      <rPr>
        <b/>
        <sz val="12"/>
        <color theme="1"/>
        <rFont val="Calibri"/>
        <family val="2"/>
      </rPr>
      <t>(*Nota: si NCVA es &lt; 0.05, utilice 0.05 para los cálculos)</t>
    </r>
  </si>
  <si>
    <r>
      <t xml:space="preserve">                                           NCVA</t>
    </r>
    <r>
      <rPr>
        <b/>
        <sz val="12"/>
        <color theme="1"/>
        <rFont val="Calibri"/>
        <family val="2"/>
      </rPr>
      <t>(*Nota: si NCVA es &lt; 0.05, utilice 0.05 para los cálculos</t>
    </r>
    <r>
      <rPr>
        <b/>
        <u/>
        <sz val="12"/>
        <color theme="1"/>
        <rFont val="Calibri"/>
        <family val="2"/>
      </rPr>
      <t>)</t>
    </r>
  </si>
  <si>
    <r>
      <t>•</t>
    </r>
    <r>
      <rPr>
        <b/>
        <sz val="12"/>
        <color rgb="FF000000"/>
        <rFont val="Calibri"/>
        <family val="2"/>
      </rPr>
      <t xml:space="preserve">P/N para PC </t>
    </r>
    <r>
      <rPr>
        <sz val="12"/>
        <color rgb="FF000000"/>
        <rFont val="Calibri"/>
        <family val="2"/>
      </rPr>
      <t xml:space="preserve">= </t>
    </r>
    <r>
      <rPr>
        <u/>
        <sz val="12"/>
        <color rgb="FF000000"/>
        <rFont val="Calibri"/>
        <family val="2"/>
      </rPr>
      <t xml:space="preserve">PCVA </t>
    </r>
  </si>
  <si>
    <r>
      <t>•</t>
    </r>
    <r>
      <rPr>
        <b/>
        <sz val="12"/>
        <color rgb="FF000000"/>
        <rFont val="Calibri"/>
        <family val="2"/>
      </rPr>
      <t>NBR</t>
    </r>
    <r>
      <rPr>
        <sz val="12"/>
        <color rgb="FF000000"/>
        <rFont val="Calibri"/>
        <family val="2"/>
      </rPr>
      <t xml:space="preserve"> = </t>
    </r>
    <r>
      <rPr>
        <u/>
        <sz val="12"/>
        <color rgb="FF000000"/>
        <rFont val="Calibri"/>
        <family val="2"/>
      </rPr>
      <t>Absorbancia promedio con antígeno viral</t>
    </r>
  </si>
  <si>
    <t xml:space="preserve">                    Absorbancia promedio con antígeno normal</t>
  </si>
  <si>
    <t>*Nota: Consulte la sección de cálculos manuales de las Instrucciones de uso (IFU) para obtener más detalles</t>
  </si>
  <si>
    <t>Valores menos blanco</t>
  </si>
  <si>
    <t>Resultado</t>
  </si>
  <si>
    <t>Criterios</t>
  </si>
  <si>
    <t>Válido?</t>
  </si>
  <si>
    <t>¿Todos los controles son válidos?</t>
  </si>
  <si>
    <t>PCVA-VL--------------DIFERENCIA MÍN</t>
  </si>
  <si>
    <t>NCVA-VL-------------DIFERENCIA MÍN</t>
  </si>
  <si>
    <t>Nombre del operador</t>
  </si>
  <si>
    <t>Fecha</t>
  </si>
  <si>
    <t>Lote de kit #</t>
  </si>
  <si>
    <t>Fecha de caducidad del equipo</t>
  </si>
  <si>
    <t>Laboratorio</t>
  </si>
  <si>
    <t>Método de lavado</t>
  </si>
  <si>
    <t>P/N para control Pos</t>
  </si>
  <si>
    <t>Interpretaciones de los resultados de las pruebas</t>
  </si>
  <si>
    <t>Nombre de la muestra</t>
  </si>
  <si>
    <t>Celúla</t>
  </si>
  <si>
    <t>Resultado de la prueba</t>
  </si>
  <si>
    <t>Acción/Informe</t>
  </si>
  <si>
    <r>
      <rPr>
        <b/>
        <u/>
        <sz val="11"/>
        <color theme="1"/>
        <rFont val="Calibri"/>
        <family val="2"/>
        <scheme val="minor"/>
      </rPr>
      <t>NOTA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 xml:space="preserve">Todos cálculos en esta hoja de cálculo usarán los valores no redondeados almacenados en estas celdas; por lo tanto, es posible que los cálculos manuales realizados con los valores mostrados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se alineen con los valores calculados automáticamente</t>
    </r>
  </si>
  <si>
    <t>Cualquier</t>
  </si>
  <si>
    <t>Jane Basile</t>
  </si>
  <si>
    <t>18 Noviembre 2020</t>
  </si>
  <si>
    <t>ATCC-70036817</t>
  </si>
  <si>
    <t>32 Julio 2021</t>
  </si>
  <si>
    <t>Arbovirus US CDC</t>
  </si>
  <si>
    <t>Automatic 96-well</t>
  </si>
  <si>
    <t>YF MAC-HD Resultados</t>
  </si>
  <si>
    <t>YF MAC-ON Resultados</t>
  </si>
  <si>
    <t xml:space="preserve"> VA OD PROMEDIO</t>
  </si>
  <si>
    <t xml:space="preserve"> NA OD PROMEDIO</t>
  </si>
  <si>
    <t>YF MAC-ON (durante la noche) CALCULATIONS SHEET</t>
  </si>
  <si>
    <t>Instrucciones para el uso del cuaderno de cálculos para el YF MAC-HD y YF MAC-ON</t>
  </si>
  <si>
    <t>Ejecute el ensayo y NO USE LA FUNCION DE BLANCO en el lector de placas</t>
  </si>
  <si>
    <t>Copie y pegue los resultados en las celdas superiores (representadas en amarillo) de la hoja de cálculo para YF MAC-HD o YF MAC-ON (las muestras son ejecutadas en sencillo para el YF MAC-HD y en triplicado para el YF MAC-ON)</t>
  </si>
  <si>
    <t xml:space="preserve">Los controles van a ser verificados automáticamente y si la prueba es valida los resultados de sus muestras aparecerán en la tabla al final de la hoja de cálculo. </t>
  </si>
  <si>
    <t>Note que si los controles no son válidos, los resultados no serán calculados</t>
  </si>
  <si>
    <t>1. Ingrese el nombre del operador, fecha, numero de lote del kit, fecha de expiración del kit, laboratorio y método de lavado utilizado en las celdas del medio (representadas en amarillo).</t>
  </si>
  <si>
    <t>1. Ingrese el nombre de sus muestras en las celdas inferiores (representadas en amarillo) en la tabla de los resultados.</t>
  </si>
  <si>
    <t xml:space="preserve">Solo las celdas demarcadas en amarillo podrán ser editadas; el resto de las celdas están bloqueadas. </t>
  </si>
  <si>
    <t>Configuración de la placa</t>
  </si>
  <si>
    <t>Vacío</t>
  </si>
  <si>
    <r>
      <t>•</t>
    </r>
    <r>
      <rPr>
        <b/>
        <sz val="12"/>
        <color rgb="FF000000"/>
        <rFont val="Calibri"/>
        <family val="2"/>
      </rPr>
      <t>NBR for sample(s)</t>
    </r>
    <r>
      <rPr>
        <sz val="12"/>
        <color rgb="FF000000"/>
        <rFont val="Calibri"/>
        <family val="2"/>
      </rPr>
      <t xml:space="preserve">=  </t>
    </r>
    <r>
      <rPr>
        <u/>
        <sz val="12"/>
        <color rgb="FF000000"/>
        <rFont val="Calibri"/>
        <family val="2"/>
      </rPr>
      <t>Promedio VA OD</t>
    </r>
  </si>
  <si>
    <t xml:space="preserve">                                            Promedio NA OD</t>
  </si>
  <si>
    <t>Vacío OD A1:D1 de formato de placa de 96 pocillos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</si>
</sst>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[$-409]d\-mmm\-yyyy;@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28"/>
      <color theme="1" tint="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entury Gothic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lightUp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/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</cellStyleXfs>
  <cellXfs count="284">
    <xf numFmtId="0" fontId="0" fillId="0" borderId="0" xfId="0"/>
    <xf numFmtId="164" fontId="0" fillId="0" borderId="0" xfId="0" applyNumberFormat="1" applyProtection="1"/>
    <xf numFmtId="164" fontId="0" fillId="0" borderId="0" xfId="0" applyNumberFormat="1" applyProtection="1">
      <protection locked="0"/>
    </xf>
    <xf numFmtId="164" fontId="1" fillId="0" borderId="0" xfId="0" applyNumberFormat="1" applyFont="1" applyProtection="1"/>
    <xf numFmtId="164" fontId="0" fillId="0" borderId="0" xfId="0" applyNumberFormat="1" applyFill="1" applyBorder="1" applyProtection="1"/>
    <xf numFmtId="164" fontId="0" fillId="0" borderId="0" xfId="0" applyNumberFormat="1" applyFill="1" applyProtection="1"/>
    <xf numFmtId="164" fontId="0" fillId="2" borderId="1" xfId="0" applyNumberFormat="1" applyFill="1" applyBorder="1" applyProtection="1"/>
    <xf numFmtId="164" fontId="0" fillId="0" borderId="0" xfId="0" applyNumberFormat="1" applyBorder="1" applyProtection="1"/>
    <xf numFmtId="0" fontId="0" fillId="0" borderId="0" xfId="0" applyProtection="1">
      <protection locked="0"/>
    </xf>
    <xf numFmtId="164" fontId="0" fillId="5" borderId="4" xfId="0" applyNumberFormat="1" applyFill="1" applyBorder="1" applyProtection="1"/>
    <xf numFmtId="164" fontId="0" fillId="5" borderId="6" xfId="0" applyNumberFormat="1" applyFill="1" applyBorder="1" applyProtection="1"/>
    <xf numFmtId="164" fontId="0" fillId="5" borderId="7" xfId="0" applyNumberFormat="1" applyFill="1" applyBorder="1" applyProtection="1"/>
    <xf numFmtId="164" fontId="0" fillId="5" borderId="2" xfId="0" applyNumberFormat="1" applyFill="1" applyBorder="1" applyProtection="1"/>
    <xf numFmtId="164" fontId="0" fillId="5" borderId="0" xfId="0" applyNumberFormat="1" applyFill="1" applyBorder="1" applyProtection="1"/>
    <xf numFmtId="0" fontId="0" fillId="0" borderId="0" xfId="0" applyProtection="1"/>
    <xf numFmtId="0" fontId="0" fillId="6" borderId="1" xfId="0" applyFill="1" applyBorder="1" applyProtection="1"/>
    <xf numFmtId="0" fontId="0" fillId="5" borderId="2" xfId="0" applyFill="1" applyBorder="1" applyProtection="1"/>
    <xf numFmtId="0" fontId="0" fillId="5" borderId="3" xfId="0" applyFill="1" applyBorder="1" applyProtection="1"/>
    <xf numFmtId="0" fontId="0" fillId="6" borderId="4" xfId="0" applyFill="1" applyBorder="1" applyProtection="1"/>
    <xf numFmtId="0" fontId="0" fillId="0" borderId="0" xfId="0" applyBorder="1" applyProtection="1"/>
    <xf numFmtId="0" fontId="0" fillId="5" borderId="5" xfId="0" applyFill="1" applyBorder="1" applyProtection="1"/>
    <xf numFmtId="0" fontId="0" fillId="5" borderId="4" xfId="0" applyFill="1" applyBorder="1" applyProtection="1"/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164" fontId="0" fillId="0" borderId="0" xfId="0" applyNumberFormat="1" applyAlignment="1" applyProtection="1">
      <alignment horizontal="center"/>
    </xf>
    <xf numFmtId="164" fontId="0" fillId="0" borderId="0" xfId="0" applyNumberFormat="1" applyFont="1" applyFill="1" applyProtection="1"/>
    <xf numFmtId="164" fontId="4" fillId="0" borderId="0" xfId="0" applyNumberFormat="1" applyFont="1" applyAlignment="1" applyProtection="1">
      <alignment horizontal="center"/>
    </xf>
    <xf numFmtId="164" fontId="0" fillId="0" borderId="0" xfId="0" applyNumberFormat="1" applyAlignment="1" applyProtection="1"/>
    <xf numFmtId="164" fontId="3" fillId="0" borderId="0" xfId="0" applyNumberFormat="1" applyFont="1" applyProtection="1"/>
    <xf numFmtId="0" fontId="0" fillId="0" borderId="14" xfId="0" applyBorder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9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5" fillId="0" borderId="0" xfId="0" applyFont="1" applyFill="1" applyBorder="1" applyAlignment="1" applyProtection="1"/>
    <xf numFmtId="164" fontId="0" fillId="0" borderId="4" xfId="0" applyNumberFormat="1" applyBorder="1" applyProtection="1"/>
    <xf numFmtId="164" fontId="0" fillId="0" borderId="14" xfId="0" applyNumberFormat="1" applyBorder="1" applyProtection="1"/>
    <xf numFmtId="164" fontId="1" fillId="0" borderId="9" xfId="0" applyNumberFormat="1" applyFont="1" applyBorder="1" applyProtection="1"/>
    <xf numFmtId="164" fontId="0" fillId="0" borderId="0" xfId="0" applyNumberFormat="1" applyFont="1" applyBorder="1" applyAlignment="1" applyProtection="1">
      <alignment horizontal="center"/>
    </xf>
    <xf numFmtId="164" fontId="0" fillId="0" borderId="10" xfId="0" applyNumberFormat="1" applyFon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3" borderId="10" xfId="0" applyNumberForma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1" fillId="0" borderId="11" xfId="0" applyNumberFormat="1" applyFont="1" applyBorder="1" applyProtection="1"/>
    <xf numFmtId="164" fontId="0" fillId="0" borderId="13" xfId="0" applyNumberFormat="1" applyBorder="1" applyAlignment="1" applyProtection="1">
      <alignment horizontal="center"/>
    </xf>
    <xf numFmtId="164" fontId="5" fillId="0" borderId="0" xfId="0" applyNumberFormat="1" applyFont="1" applyProtection="1"/>
    <xf numFmtId="164" fontId="0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8" fillId="0" borderId="0" xfId="0" applyFont="1" applyProtection="1"/>
    <xf numFmtId="0" fontId="5" fillId="0" borderId="0" xfId="0" applyFont="1" applyProtection="1"/>
    <xf numFmtId="0" fontId="9" fillId="0" borderId="0" xfId="0" applyFont="1" applyProtection="1"/>
    <xf numFmtId="0" fontId="16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5" fillId="0" borderId="0" xfId="0" applyFont="1" applyProtection="1"/>
    <xf numFmtId="0" fontId="17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3" fillId="0" borderId="0" xfId="0" applyFont="1" applyProtection="1"/>
    <xf numFmtId="0" fontId="18" fillId="0" borderId="0" xfId="0" applyFont="1" applyProtection="1"/>
    <xf numFmtId="0" fontId="19" fillId="0" borderId="0" xfId="0" applyFont="1" applyProtection="1"/>
    <xf numFmtId="0" fontId="14" fillId="0" borderId="0" xfId="0" applyFont="1" applyProtection="1"/>
    <xf numFmtId="0" fontId="0" fillId="0" borderId="0" xfId="0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164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0" fontId="0" fillId="0" borderId="0" xfId="0" applyBorder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9" xfId="0" applyFont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1" xfId="0" applyFont="1" applyBorder="1" applyAlignment="1" applyProtection="1"/>
    <xf numFmtId="0" fontId="4" fillId="0" borderId="13" xfId="0" applyFont="1" applyBorder="1" applyAlignment="1" applyProtection="1">
      <alignment horizontal="center"/>
    </xf>
    <xf numFmtId="164" fontId="2" fillId="0" borderId="21" xfId="0" applyNumberFormat="1" applyFont="1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164" fontId="1" fillId="0" borderId="20" xfId="0" applyNumberFormat="1" applyFont="1" applyBorder="1" applyAlignment="1" applyProtection="1">
      <alignment horizontal="center"/>
    </xf>
    <xf numFmtId="164" fontId="1" fillId="0" borderId="0" xfId="0" applyNumberFormat="1" applyFont="1" applyBorder="1" applyProtection="1"/>
    <xf numFmtId="0" fontId="0" fillId="0" borderId="0" xfId="0" applyAlignment="1"/>
    <xf numFmtId="0" fontId="0" fillId="0" borderId="0" xfId="0" applyFill="1" applyAlignment="1"/>
    <xf numFmtId="0" fontId="0" fillId="0" borderId="29" xfId="0" applyBorder="1"/>
    <xf numFmtId="0" fontId="23" fillId="0" borderId="0" xfId="0" applyFont="1" applyAlignment="1">
      <alignment horizontal="left" vertical="center" indent="3" readingOrder="1"/>
    </xf>
    <xf numFmtId="0" fontId="0" fillId="0" borderId="45" xfId="0" applyBorder="1"/>
    <xf numFmtId="164" fontId="27" fillId="4" borderId="46" xfId="0" applyNumberFormat="1" applyFont="1" applyFill="1" applyBorder="1" applyProtection="1"/>
    <xf numFmtId="164" fontId="27" fillId="0" borderId="47" xfId="0" applyNumberFormat="1" applyFont="1" applyBorder="1" applyProtection="1"/>
    <xf numFmtId="0" fontId="0" fillId="0" borderId="0" xfId="0" applyBorder="1" applyAlignment="1">
      <alignment horizontal="center"/>
    </xf>
    <xf numFmtId="164" fontId="27" fillId="0" borderId="52" xfId="0" applyNumberFormat="1" applyFont="1" applyBorder="1" applyAlignment="1" applyProtection="1">
      <alignment horizontal="center" vertical="center"/>
    </xf>
    <xf numFmtId="164" fontId="27" fillId="4" borderId="55" xfId="0" applyNumberFormat="1" applyFont="1" applyFill="1" applyBorder="1" applyAlignment="1" applyProtection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27" fillId="4" borderId="51" xfId="0" applyFont="1" applyFill="1" applyBorder="1" applyAlignment="1">
      <alignment horizontal="left" vertical="center"/>
    </xf>
    <xf numFmtId="0" fontId="5" fillId="0" borderId="0" xfId="0" applyFont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28" fillId="0" borderId="0" xfId="0" applyFont="1" applyAlignment="1" applyProtection="1">
      <alignment horizontal="left" vertical="center" indent="3" readingOrder="1"/>
    </xf>
    <xf numFmtId="0" fontId="2" fillId="0" borderId="0" xfId="0" applyFont="1" applyProtection="1"/>
    <xf numFmtId="0" fontId="2" fillId="0" borderId="5" xfId="0" applyFont="1" applyBorder="1" applyProtection="1"/>
    <xf numFmtId="0" fontId="23" fillId="0" borderId="4" xfId="0" applyFont="1" applyBorder="1" applyAlignment="1" applyProtection="1">
      <alignment horizontal="left" vertical="center" indent="3" readingOrder="1"/>
    </xf>
    <xf numFmtId="0" fontId="30" fillId="0" borderId="0" xfId="0" applyFont="1" applyAlignment="1" applyProtection="1">
      <alignment horizontal="left" vertical="center" readingOrder="1"/>
    </xf>
    <xf numFmtId="0" fontId="24" fillId="0" borderId="4" xfId="0" applyFont="1" applyBorder="1" applyAlignment="1" applyProtection="1">
      <alignment horizontal="left" vertical="center" readingOrder="1"/>
    </xf>
    <xf numFmtId="0" fontId="28" fillId="0" borderId="0" xfId="0" applyFont="1" applyAlignment="1" applyProtection="1">
      <alignment horizontal="left" vertical="center" indent="2" readingOrder="1"/>
    </xf>
    <xf numFmtId="0" fontId="23" fillId="0" borderId="4" xfId="0" applyFont="1" applyBorder="1" applyAlignment="1" applyProtection="1">
      <alignment horizontal="left" vertical="center" indent="2" readingOrder="1"/>
    </xf>
    <xf numFmtId="0" fontId="30" fillId="0" borderId="0" xfId="0" applyFont="1" applyBorder="1" applyAlignment="1" applyProtection="1">
      <alignment horizontal="left" vertical="center" readingOrder="1"/>
    </xf>
    <xf numFmtId="0" fontId="24" fillId="0" borderId="6" xfId="0" applyFont="1" applyBorder="1" applyAlignment="1" applyProtection="1">
      <alignment horizontal="left" vertical="center" readingOrder="1"/>
    </xf>
    <xf numFmtId="0" fontId="2" fillId="0" borderId="7" xfId="0" applyFont="1" applyBorder="1" applyProtection="1"/>
    <xf numFmtId="0" fontId="2" fillId="0" borderId="8" xfId="0" applyFont="1" applyBorder="1" applyProtection="1"/>
    <xf numFmtId="0" fontId="5" fillId="0" borderId="0" xfId="0" applyFont="1" applyFill="1" applyProtection="1"/>
    <xf numFmtId="0" fontId="0" fillId="0" borderId="0" xfId="0" applyFill="1" applyProtection="1"/>
    <xf numFmtId="0" fontId="0" fillId="13" borderId="55" xfId="0" applyFill="1" applyBorder="1" applyAlignment="1" applyProtection="1">
      <alignment horizontal="center"/>
    </xf>
    <xf numFmtId="0" fontId="0" fillId="13" borderId="70" xfId="0" applyFill="1" applyBorder="1" applyAlignment="1" applyProtection="1">
      <alignment horizontal="center"/>
    </xf>
    <xf numFmtId="0" fontId="0" fillId="13" borderId="52" xfId="0" applyFill="1" applyBorder="1" applyAlignment="1" applyProtection="1">
      <alignment horizontal="center"/>
    </xf>
    <xf numFmtId="164" fontId="1" fillId="13" borderId="55" xfId="0" applyNumberFormat="1" applyFont="1" applyFill="1" applyBorder="1" applyAlignment="1" applyProtection="1">
      <alignment horizontal="center" wrapText="1"/>
    </xf>
    <xf numFmtId="164" fontId="1" fillId="13" borderId="70" xfId="0" applyNumberFormat="1" applyFont="1" applyFill="1" applyBorder="1" applyAlignment="1" applyProtection="1">
      <alignment horizontal="center" wrapText="1"/>
    </xf>
    <xf numFmtId="0" fontId="0" fillId="13" borderId="45" xfId="0" applyFill="1" applyBorder="1" applyAlignment="1" applyProtection="1"/>
    <xf numFmtId="165" fontId="4" fillId="10" borderId="0" xfId="2" applyNumberFormat="1" applyFont="1" applyBorder="1" applyAlignment="1" applyProtection="1">
      <alignment horizontal="center"/>
    </xf>
    <xf numFmtId="165" fontId="4" fillId="9" borderId="0" xfId="1" applyNumberFormat="1" applyFont="1" applyBorder="1" applyAlignment="1" applyProtection="1">
      <alignment horizontal="center"/>
    </xf>
    <xf numFmtId="165" fontId="4" fillId="9" borderId="0" xfId="1" applyNumberFormat="1" applyFont="1" applyBorder="1" applyProtection="1"/>
    <xf numFmtId="165" fontId="0" fillId="0" borderId="18" xfId="0" applyNumberFormat="1" applyBorder="1" applyProtection="1"/>
    <xf numFmtId="165" fontId="0" fillId="0" borderId="0" xfId="0" applyNumberFormat="1" applyBorder="1" applyProtection="1"/>
    <xf numFmtId="165" fontId="4" fillId="8" borderId="0" xfId="0" applyNumberFormat="1" applyFont="1" applyFill="1" applyBorder="1" applyProtection="1"/>
    <xf numFmtId="165" fontId="0" fillId="0" borderId="0" xfId="0" applyNumberFormat="1" applyBorder="1" applyAlignment="1" applyProtection="1">
      <alignment horizontal="center"/>
    </xf>
    <xf numFmtId="165" fontId="4" fillId="8" borderId="0" xfId="0" applyNumberFormat="1" applyFont="1" applyFill="1" applyBorder="1" applyAlignment="1" applyProtection="1">
      <alignment horizontal="center"/>
    </xf>
    <xf numFmtId="165" fontId="0" fillId="0" borderId="0" xfId="0" applyNumberFormat="1" applyFont="1" applyBorder="1" applyAlignment="1" applyProtection="1">
      <alignment horizontal="center"/>
    </xf>
    <xf numFmtId="165" fontId="22" fillId="10" borderId="0" xfId="2" applyNumberFormat="1" applyBorder="1" applyAlignment="1" applyProtection="1">
      <alignment horizontal="center"/>
    </xf>
    <xf numFmtId="165" fontId="0" fillId="8" borderId="0" xfId="0" applyNumberFormat="1" applyFill="1" applyBorder="1" applyAlignment="1" applyProtection="1">
      <alignment horizontal="center"/>
    </xf>
    <xf numFmtId="165" fontId="21" fillId="9" borderId="0" xfId="1" applyNumberFormat="1" applyBorder="1" applyAlignment="1" applyProtection="1">
      <alignment horizontal="center"/>
    </xf>
    <xf numFmtId="165" fontId="0" fillId="0" borderId="24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25" xfId="0" applyNumberFormat="1" applyBorder="1" applyProtection="1">
      <protection locked="0"/>
    </xf>
    <xf numFmtId="165" fontId="0" fillId="0" borderId="26" xfId="0" applyNumberFormat="1" applyBorder="1" applyProtection="1">
      <protection locked="0"/>
    </xf>
    <xf numFmtId="165" fontId="4" fillId="10" borderId="30" xfId="2" applyNumberFormat="1" applyFont="1" applyBorder="1" applyProtection="1"/>
    <xf numFmtId="165" fontId="4" fillId="10" borderId="31" xfId="2" applyNumberFormat="1" applyFont="1" applyBorder="1" applyProtection="1"/>
    <xf numFmtId="165" fontId="4" fillId="10" borderId="32" xfId="2" applyNumberFormat="1" applyFont="1" applyBorder="1" applyProtection="1"/>
    <xf numFmtId="165" fontId="4" fillId="10" borderId="24" xfId="2" applyNumberFormat="1" applyFont="1" applyBorder="1" applyProtection="1"/>
    <xf numFmtId="165" fontId="4" fillId="10" borderId="25" xfId="2" applyNumberFormat="1" applyFont="1" applyBorder="1" applyProtection="1"/>
    <xf numFmtId="165" fontId="4" fillId="8" borderId="33" xfId="0" applyNumberFormat="1" applyFont="1" applyFill="1" applyBorder="1" applyProtection="1"/>
    <xf numFmtId="165" fontId="4" fillId="8" borderId="34" xfId="0" applyNumberFormat="1" applyFont="1" applyFill="1" applyBorder="1" applyProtection="1"/>
    <xf numFmtId="165" fontId="4" fillId="8" borderId="35" xfId="0" applyNumberFormat="1" applyFont="1" applyFill="1" applyBorder="1" applyProtection="1"/>
    <xf numFmtId="165" fontId="4" fillId="10" borderId="37" xfId="2" applyNumberFormat="1" applyFont="1" applyBorder="1" applyProtection="1"/>
    <xf numFmtId="165" fontId="4" fillId="9" borderId="39" xfId="1" applyNumberFormat="1" applyFont="1" applyBorder="1" applyProtection="1"/>
    <xf numFmtId="165" fontId="4" fillId="10" borderId="38" xfId="2" applyNumberFormat="1" applyFont="1" applyBorder="1" applyProtection="1"/>
    <xf numFmtId="165" fontId="4" fillId="9" borderId="40" xfId="1" applyNumberFormat="1" applyFont="1" applyBorder="1" applyProtection="1"/>
    <xf numFmtId="165" fontId="4" fillId="9" borderId="41" xfId="1" applyNumberFormat="1" applyFont="1" applyBorder="1" applyProtection="1"/>
    <xf numFmtId="165" fontId="0" fillId="0" borderId="27" xfId="0" applyNumberFormat="1" applyBorder="1" applyProtection="1"/>
    <xf numFmtId="165" fontId="0" fillId="0" borderId="28" xfId="0" applyNumberFormat="1" applyBorder="1" applyProtection="1"/>
    <xf numFmtId="165" fontId="0" fillId="0" borderId="23" xfId="0" applyNumberFormat="1" applyBorder="1" applyProtection="1"/>
    <xf numFmtId="165" fontId="0" fillId="0" borderId="44" xfId="0" applyNumberFormat="1" applyBorder="1" applyProtection="1"/>
    <xf numFmtId="0" fontId="0" fillId="0" borderId="0" xfId="0" applyAlignment="1">
      <alignment horizontal="left"/>
    </xf>
    <xf numFmtId="0" fontId="0" fillId="11" borderId="0" xfId="0" applyFill="1" applyAlignment="1" applyProtection="1">
      <alignment horizontal="left"/>
    </xf>
    <xf numFmtId="0" fontId="0" fillId="11" borderId="0" xfId="0" applyFill="1" applyAlignment="1">
      <alignment horizontal="left"/>
    </xf>
    <xf numFmtId="0" fontId="0" fillId="0" borderId="0" xfId="0" applyFill="1" applyBorder="1" applyAlignment="1"/>
    <xf numFmtId="0" fontId="1" fillId="0" borderId="48" xfId="0" applyFont="1" applyBorder="1" applyProtection="1"/>
    <xf numFmtId="0" fontId="1" fillId="0" borderId="46" xfId="0" applyFont="1" applyBorder="1" applyProtection="1"/>
    <xf numFmtId="165" fontId="0" fillId="14" borderId="57" xfId="0" applyNumberFormat="1" applyFill="1" applyBorder="1" applyAlignment="1" applyProtection="1">
      <alignment horizontal="center" vertical="center" wrapText="1"/>
      <protection locked="0"/>
    </xf>
    <xf numFmtId="165" fontId="0" fillId="14" borderId="58" xfId="0" applyNumberFormat="1" applyFill="1" applyBorder="1" applyAlignment="1" applyProtection="1">
      <alignment horizontal="center" vertical="center" wrapText="1"/>
      <protection locked="0"/>
    </xf>
    <xf numFmtId="165" fontId="0" fillId="14" borderId="59" xfId="0" applyNumberFormat="1" applyFill="1" applyBorder="1" applyAlignment="1" applyProtection="1">
      <alignment horizontal="center" vertical="center" wrapText="1"/>
      <protection locked="0"/>
    </xf>
    <xf numFmtId="165" fontId="0" fillId="14" borderId="60" xfId="0" applyNumberFormat="1" applyFill="1" applyBorder="1" applyAlignment="1" applyProtection="1">
      <alignment horizontal="center" vertical="center" wrapText="1"/>
      <protection locked="0"/>
    </xf>
    <xf numFmtId="165" fontId="0" fillId="14" borderId="45" xfId="0" applyNumberFormat="1" applyFill="1" applyBorder="1" applyAlignment="1" applyProtection="1">
      <alignment horizontal="center" vertical="center" wrapText="1"/>
      <protection locked="0"/>
    </xf>
    <xf numFmtId="165" fontId="0" fillId="14" borderId="61" xfId="0" applyNumberFormat="1" applyFill="1" applyBorder="1" applyAlignment="1" applyProtection="1">
      <alignment horizontal="center" vertical="center" wrapText="1"/>
      <protection locked="0"/>
    </xf>
    <xf numFmtId="165" fontId="0" fillId="14" borderId="62" xfId="0" applyNumberFormat="1" applyFill="1" applyBorder="1" applyAlignment="1" applyProtection="1">
      <alignment horizontal="center" vertical="center" wrapText="1"/>
      <protection locked="0"/>
    </xf>
    <xf numFmtId="165" fontId="0" fillId="14" borderId="63" xfId="0" applyNumberFormat="1" applyFill="1" applyBorder="1" applyAlignment="1" applyProtection="1">
      <alignment horizontal="center" vertical="center" wrapText="1"/>
      <protection locked="0"/>
    </xf>
    <xf numFmtId="165" fontId="0" fillId="14" borderId="64" xfId="0" applyNumberFormat="1" applyFill="1" applyBorder="1" applyAlignment="1" applyProtection="1">
      <alignment horizontal="center" vertical="center" wrapText="1"/>
      <protection locked="0"/>
    </xf>
    <xf numFmtId="0" fontId="0" fillId="14" borderId="46" xfId="0" applyFill="1" applyBorder="1" applyAlignment="1" applyProtection="1">
      <alignment horizontal="center" vertical="center" wrapText="1"/>
      <protection locked="0"/>
    </xf>
    <xf numFmtId="1" fontId="0" fillId="0" borderId="53" xfId="0" applyNumberFormat="1" applyBorder="1" applyAlignment="1" applyProtection="1">
      <alignment horizontal="center" vertical="center"/>
    </xf>
    <xf numFmtId="1" fontId="0" fillId="0" borderId="54" xfId="0" applyNumberFormat="1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1" fontId="0" fillId="0" borderId="0" xfId="0" applyNumberFormat="1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165" fontId="0" fillId="0" borderId="71" xfId="0" applyNumberFormat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1" fontId="0" fillId="0" borderId="71" xfId="0" applyNumberFormat="1" applyBorder="1" applyAlignment="1" applyProtection="1">
      <alignment horizontal="center" vertical="center"/>
    </xf>
    <xf numFmtId="165" fontId="4" fillId="10" borderId="0" xfId="2" applyNumberFormat="1" applyFont="1" applyBorder="1" applyAlignment="1" applyProtection="1">
      <alignment horizontal="center" vertical="center"/>
    </xf>
    <xf numFmtId="165" fontId="4" fillId="9" borderId="0" xfId="1" applyNumberFormat="1" applyFont="1" applyBorder="1" applyAlignment="1" applyProtection="1">
      <alignment horizontal="center" vertical="center"/>
    </xf>
    <xf numFmtId="165" fontId="4" fillId="8" borderId="0" xfId="0" applyNumberFormat="1" applyFont="1" applyFill="1" applyBorder="1" applyAlignment="1" applyProtection="1">
      <alignment horizontal="center" vertical="center"/>
    </xf>
    <xf numFmtId="165" fontId="22" fillId="10" borderId="0" xfId="2" applyNumberFormat="1" applyBorder="1" applyAlignment="1" applyProtection="1">
      <alignment horizontal="center" vertical="center"/>
    </xf>
    <xf numFmtId="165" fontId="21" fillId="9" borderId="0" xfId="1" applyNumberFormat="1" applyBorder="1" applyAlignment="1" applyProtection="1">
      <alignment horizontal="center" vertical="center"/>
    </xf>
    <xf numFmtId="165" fontId="0" fillId="8" borderId="0" xfId="0" applyNumberFormat="1" applyFill="1" applyBorder="1" applyAlignment="1" applyProtection="1">
      <alignment horizontal="center" vertical="center"/>
    </xf>
    <xf numFmtId="165" fontId="0" fillId="14" borderId="57" xfId="0" applyNumberFormat="1" applyFill="1" applyBorder="1" applyAlignment="1" applyProtection="1">
      <alignment horizontal="center" vertical="center"/>
      <protection locked="0"/>
    </xf>
    <xf numFmtId="165" fontId="0" fillId="14" borderId="58" xfId="0" applyNumberFormat="1" applyFill="1" applyBorder="1" applyAlignment="1" applyProtection="1">
      <alignment horizontal="center" vertical="center"/>
      <protection locked="0"/>
    </xf>
    <xf numFmtId="165" fontId="0" fillId="14" borderId="59" xfId="0" applyNumberFormat="1" applyFill="1" applyBorder="1" applyAlignment="1" applyProtection="1">
      <alignment horizontal="center" vertical="center"/>
      <protection locked="0"/>
    </xf>
    <xf numFmtId="165" fontId="0" fillId="14" borderId="60" xfId="0" applyNumberFormat="1" applyFill="1" applyBorder="1" applyAlignment="1" applyProtection="1">
      <alignment horizontal="center" vertical="center"/>
      <protection locked="0"/>
    </xf>
    <xf numFmtId="165" fontId="0" fillId="14" borderId="45" xfId="0" applyNumberFormat="1" applyFill="1" applyBorder="1" applyAlignment="1" applyProtection="1">
      <alignment horizontal="center" vertical="center"/>
      <protection locked="0"/>
    </xf>
    <xf numFmtId="165" fontId="0" fillId="14" borderId="61" xfId="0" applyNumberFormat="1" applyFill="1" applyBorder="1" applyAlignment="1" applyProtection="1">
      <alignment horizontal="center" vertical="center"/>
      <protection locked="0"/>
    </xf>
    <xf numFmtId="165" fontId="0" fillId="14" borderId="62" xfId="0" applyNumberFormat="1" applyFill="1" applyBorder="1" applyAlignment="1" applyProtection="1">
      <alignment horizontal="center" vertical="center"/>
      <protection locked="0"/>
    </xf>
    <xf numFmtId="165" fontId="0" fillId="14" borderId="63" xfId="0" applyNumberFormat="1" applyFill="1" applyBorder="1" applyAlignment="1" applyProtection="1">
      <alignment horizontal="center" vertical="center"/>
      <protection locked="0"/>
    </xf>
    <xf numFmtId="165" fontId="0" fillId="14" borderId="64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69" xfId="0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65" fontId="0" fillId="0" borderId="71" xfId="0" applyNumberFormat="1" applyBorder="1" applyAlignment="1" applyProtection="1">
      <alignment horizontal="center" vertical="center"/>
    </xf>
    <xf numFmtId="1" fontId="1" fillId="0" borderId="48" xfId="0" applyNumberFormat="1" applyFont="1" applyBorder="1" applyProtection="1"/>
    <xf numFmtId="164" fontId="1" fillId="0" borderId="46" xfId="0" applyNumberFormat="1" applyFont="1" applyBorder="1" applyProtection="1"/>
    <xf numFmtId="0" fontId="0" fillId="15" borderId="9" xfId="0" applyFill="1" applyBorder="1" applyAlignment="1" applyProtection="1"/>
    <xf numFmtId="0" fontId="0" fillId="15" borderId="0" xfId="0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0" fillId="15" borderId="0" xfId="0" applyFill="1" applyProtection="1">
      <protection locked="0"/>
    </xf>
    <xf numFmtId="0" fontId="4" fillId="0" borderId="0" xfId="0" applyFont="1"/>
    <xf numFmtId="0" fontId="35" fillId="0" borderId="0" xfId="0" applyFont="1" applyProtection="1"/>
    <xf numFmtId="0" fontId="36" fillId="0" borderId="0" xfId="0" applyFont="1"/>
    <xf numFmtId="0" fontId="0" fillId="6" borderId="18" xfId="0" applyFill="1" applyBorder="1" applyAlignment="1" applyProtection="1">
      <alignment wrapText="1"/>
    </xf>
    <xf numFmtId="0" fontId="1" fillId="0" borderId="14" xfId="0" applyFont="1" applyBorder="1" applyAlignment="1" applyProtection="1">
      <alignment horizontal="center" wrapText="1"/>
    </xf>
    <xf numFmtId="0" fontId="0" fillId="13" borderId="70" xfId="0" applyFill="1" applyBorder="1" applyAlignment="1" applyProtection="1">
      <alignment horizontal="center" wrapText="1"/>
    </xf>
    <xf numFmtId="0" fontId="8" fillId="0" borderId="0" xfId="0" applyFont="1" applyAlignment="1">
      <alignment horizontal="left" vertical="center"/>
    </xf>
    <xf numFmtId="164" fontId="0" fillId="6" borderId="18" xfId="0" applyNumberFormat="1" applyFill="1" applyBorder="1" applyAlignment="1" applyProtection="1">
      <alignment wrapText="1"/>
    </xf>
    <xf numFmtId="164" fontId="0" fillId="2" borderId="4" xfId="0" applyNumberFormat="1" applyFill="1" applyBorder="1" applyProtection="1"/>
    <xf numFmtId="165" fontId="0" fillId="0" borderId="0" xfId="0" applyNumberForma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71" xfId="0" applyNumberFormat="1" applyBorder="1" applyAlignment="1" applyProtection="1">
      <alignment horizontal="center" vertical="center"/>
    </xf>
    <xf numFmtId="0" fontId="0" fillId="4" borderId="46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11" borderId="0" xfId="0" applyFill="1" applyAlignment="1" applyProtection="1">
      <alignment horizontal="left" wrapText="1"/>
    </xf>
    <xf numFmtId="0" fontId="0" fillId="11" borderId="0" xfId="0" applyFill="1" applyAlignment="1" applyProtection="1">
      <alignment horizontal="left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0" fillId="12" borderId="46" xfId="0" applyFill="1" applyBorder="1" applyAlignment="1"/>
    <xf numFmtId="0" fontId="0" fillId="0" borderId="47" xfId="0" applyBorder="1" applyAlignment="1"/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164" fontId="26" fillId="10" borderId="48" xfId="2" applyNumberFormat="1" applyFont="1" applyBorder="1" applyAlignment="1" applyProtection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164" fontId="26" fillId="9" borderId="48" xfId="1" applyNumberFormat="1" applyFont="1" applyBorder="1" applyAlignment="1" applyProtection="1">
      <alignment horizontal="center" vertical="center" wrapText="1"/>
    </xf>
    <xf numFmtId="164" fontId="26" fillId="9" borderId="49" xfId="1" applyNumberFormat="1" applyFont="1" applyBorder="1" applyAlignment="1" applyProtection="1">
      <alignment horizontal="center" vertical="center" wrapText="1"/>
    </xf>
    <xf numFmtId="164" fontId="26" fillId="9" borderId="50" xfId="1" applyNumberFormat="1" applyFont="1" applyBorder="1" applyAlignment="1" applyProtection="1">
      <alignment horizontal="center" vertical="center" wrapText="1"/>
    </xf>
    <xf numFmtId="164" fontId="26" fillId="8" borderId="48" xfId="0" applyNumberFormat="1" applyFont="1" applyFill="1" applyBorder="1" applyAlignment="1" applyProtection="1">
      <alignment horizontal="center" vertical="center" wrapText="1"/>
    </xf>
    <xf numFmtId="164" fontId="27" fillId="0" borderId="48" xfId="0" applyNumberFormat="1" applyFont="1" applyBorder="1" applyAlignment="1" applyProtection="1">
      <alignment horizontal="center" vertical="center" wrapText="1"/>
    </xf>
    <xf numFmtId="0" fontId="0" fillId="15" borderId="9" xfId="0" applyFill="1" applyBorder="1" applyProtection="1"/>
    <xf numFmtId="0" fontId="0" fillId="15" borderId="0" xfId="0" applyFill="1" applyBorder="1" applyProtection="1"/>
    <xf numFmtId="164" fontId="1" fillId="15" borderId="0" xfId="0" applyNumberFormat="1" applyFont="1" applyFill="1" applyAlignment="1">
      <alignment horizontal="left" wrapText="1"/>
    </xf>
    <xf numFmtId="0" fontId="0" fillId="14" borderId="14" xfId="0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 applyProtection="1">
      <alignment horizontal="center" vertical="center"/>
      <protection locked="0"/>
    </xf>
    <xf numFmtId="0" fontId="0" fillId="14" borderId="16" xfId="0" applyFill="1" applyBorder="1" applyAlignment="1" applyProtection="1">
      <alignment horizontal="center" vertical="center"/>
      <protection locked="0"/>
    </xf>
    <xf numFmtId="49" fontId="0" fillId="14" borderId="14" xfId="0" applyNumberFormat="1" applyFill="1" applyBorder="1" applyAlignment="1" applyProtection="1">
      <alignment horizontal="center" vertical="center"/>
      <protection locked="0"/>
    </xf>
    <xf numFmtId="49" fontId="0" fillId="14" borderId="15" xfId="0" applyNumberFormat="1" applyFill="1" applyBorder="1" applyAlignment="1" applyProtection="1">
      <alignment horizontal="center" vertical="center"/>
      <protection locked="0"/>
    </xf>
    <xf numFmtId="49" fontId="0" fillId="14" borderId="16" xfId="0" applyNumberFormat="1" applyFill="1" applyBorder="1" applyAlignment="1" applyProtection="1">
      <alignment horizontal="center" vertical="center"/>
      <protection locked="0"/>
    </xf>
    <xf numFmtId="166" fontId="0" fillId="14" borderId="14" xfId="0" applyNumberFormat="1" applyFill="1" applyBorder="1" applyAlignment="1" applyProtection="1">
      <alignment horizontal="center" vertical="center"/>
      <protection locked="0"/>
    </xf>
    <xf numFmtId="166" fontId="0" fillId="14" borderId="15" xfId="0" applyNumberFormat="1" applyFill="1" applyBorder="1" applyAlignment="1" applyProtection="1">
      <alignment horizontal="center" vertical="center"/>
      <protection locked="0"/>
    </xf>
    <xf numFmtId="166" fontId="0" fillId="14" borderId="16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7" xfId="0" applyNumberFormat="1" applyBorder="1" applyAlignment="1" applyProtection="1">
      <alignment horizontal="center" vertical="center"/>
    </xf>
    <xf numFmtId="165" fontId="0" fillId="0" borderId="2" xfId="0" applyNumberFormat="1" applyBorder="1" applyAlignment="1" applyProtection="1">
      <alignment horizontal="center" vertical="center"/>
    </xf>
    <xf numFmtId="0" fontId="0" fillId="14" borderId="51" xfId="0" applyNumberFormat="1" applyFill="1" applyBorder="1" applyAlignment="1" applyProtection="1">
      <alignment horizontal="center" vertical="center"/>
      <protection locked="0"/>
    </xf>
    <xf numFmtId="165" fontId="0" fillId="0" borderId="71" xfId="0" applyNumberFormat="1" applyBorder="1" applyAlignment="1" applyProtection="1">
      <alignment horizontal="center" vertical="center"/>
    </xf>
    <xf numFmtId="0" fontId="0" fillId="14" borderId="69" xfId="0" applyNumberFormat="1" applyFill="1" applyBorder="1" applyAlignment="1" applyProtection="1">
      <alignment horizontal="center" vertical="center"/>
      <protection locked="0"/>
    </xf>
    <xf numFmtId="0" fontId="0" fillId="14" borderId="67" xfId="0" applyNumberFormat="1" applyFill="1" applyBorder="1" applyAlignment="1" applyProtection="1">
      <alignment horizontal="center" vertical="center"/>
      <protection locked="0"/>
    </xf>
    <xf numFmtId="0" fontId="0" fillId="14" borderId="56" xfId="0" applyNumberFormat="1" applyFill="1" applyBorder="1" applyAlignment="1" applyProtection="1">
      <alignment horizontal="center" vertical="center"/>
      <protection locked="0"/>
    </xf>
    <xf numFmtId="0" fontId="0" fillId="14" borderId="48" xfId="0" applyNumberFormat="1" applyFill="1" applyBorder="1" applyAlignment="1" applyProtection="1">
      <alignment horizontal="center" vertical="center"/>
      <protection locked="0"/>
    </xf>
    <xf numFmtId="0" fontId="0" fillId="14" borderId="49" xfId="0" applyNumberFormat="1" applyFill="1" applyBorder="1" applyAlignment="1" applyProtection="1">
      <alignment horizontal="center" vertical="center"/>
      <protection locked="0"/>
    </xf>
    <xf numFmtId="0" fontId="0" fillId="14" borderId="65" xfId="0" applyNumberFormat="1" applyFill="1" applyBorder="1" applyAlignment="1" applyProtection="1">
      <alignment horizontal="center" vertical="center"/>
      <protection locked="0"/>
    </xf>
    <xf numFmtId="0" fontId="0" fillId="14" borderId="66" xfId="0" applyNumberFormat="1" applyFill="1" applyBorder="1" applyAlignment="1" applyProtection="1">
      <alignment horizontal="center" vertical="center"/>
      <protection locked="0"/>
    </xf>
    <xf numFmtId="0" fontId="0" fillId="14" borderId="50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center" vertical="center"/>
    </xf>
    <xf numFmtId="164" fontId="0" fillId="0" borderId="17" xfId="0" applyNumberFormat="1" applyBorder="1" applyAlignment="1" applyProtection="1">
      <alignment horizontal="center" vertical="center"/>
    </xf>
    <xf numFmtId="164" fontId="0" fillId="0" borderId="68" xfId="0" applyNumberFormat="1" applyBorder="1" applyAlignment="1" applyProtection="1">
      <alignment horizontal="center" vertical="center"/>
    </xf>
    <xf numFmtId="164" fontId="0" fillId="0" borderId="72" xfId="0" applyNumberFormat="1" applyBorder="1" applyAlignment="1" applyProtection="1">
      <alignment horizontal="center" vertical="center"/>
    </xf>
    <xf numFmtId="165" fontId="0" fillId="0" borderId="73" xfId="0" applyNumberFormat="1" applyBorder="1" applyAlignment="1" applyProtection="1">
      <alignment horizontal="center" vertical="center"/>
    </xf>
    <xf numFmtId="165" fontId="0" fillId="0" borderId="53" xfId="0" applyNumberFormat="1" applyBorder="1" applyAlignment="1" applyProtection="1">
      <alignment horizontal="center" vertical="center"/>
    </xf>
    <xf numFmtId="165" fontId="0" fillId="0" borderId="54" xfId="0" applyNumberFormat="1" applyBorder="1" applyAlignment="1" applyProtection="1">
      <alignment horizontal="center" vertical="center"/>
    </xf>
  </cellXfs>
  <cellStyles count="3">
    <cellStyle name="Bad" xfId="2" builtinId="27"/>
    <cellStyle name="Good" xfId="1" builtinId="26"/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99CCFF"/>
      <color rgb="FF66FF99"/>
      <color rgb="FFFF7C80"/>
      <color rgb="FFFDF7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32</xdr:row>
      <xdr:rowOff>19050</xdr:rowOff>
    </xdr:from>
    <xdr:to>
      <xdr:col>2</xdr:col>
      <xdr:colOff>282575</xdr:colOff>
      <xdr:row>35</xdr:row>
      <xdr:rowOff>181621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817D88E-5C14-41A6-BA27-A3D8EEF922EB}"/>
            </a:ext>
          </a:extLst>
        </xdr:cNvPr>
        <xdr:cNvSpPr/>
      </xdr:nvSpPr>
      <xdr:spPr>
        <a:xfrm>
          <a:off x="6350" y="390525"/>
          <a:ext cx="1495425" cy="7054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Se calcula la lectura promedio de DO en blanco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2</xdr:col>
      <xdr:colOff>282575</xdr:colOff>
      <xdr:row>34</xdr:row>
      <xdr:rowOff>8261</xdr:rowOff>
    </xdr:from>
    <xdr:to>
      <xdr:col>3</xdr:col>
      <xdr:colOff>571500</xdr:colOff>
      <xdr:row>34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FE443421-A576-4C75-81B9-E549AB9B0AA7}"/>
            </a:ext>
          </a:extLst>
        </xdr:cNvPr>
        <xdr:cNvCxnSpPr>
          <a:endCxn id="4" idx="3"/>
        </xdr:cNvCxnSpPr>
      </xdr:nvCxnSpPr>
      <xdr:spPr>
        <a:xfrm flipH="1" flipV="1">
          <a:off x="1501775" y="741686"/>
          <a:ext cx="898525" cy="126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42</xdr:row>
      <xdr:rowOff>38100</xdr:rowOff>
    </xdr:from>
    <xdr:to>
      <xdr:col>2</xdr:col>
      <xdr:colOff>295275</xdr:colOff>
      <xdr:row>46</xdr:row>
      <xdr:rowOff>10171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59B180E-A917-4766-9FA7-3D7AC6CC1074}"/>
            </a:ext>
          </a:extLst>
        </xdr:cNvPr>
        <xdr:cNvSpPr/>
      </xdr:nvSpPr>
      <xdr:spPr>
        <a:xfrm>
          <a:off x="19050" y="2238375"/>
          <a:ext cx="1495425" cy="715021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 La OD media del blanco se resta de todas las lecturas de la DO del pocillo </a:t>
          </a:r>
        </a:p>
      </xdr:txBody>
    </xdr:sp>
    <xdr:clientData/>
  </xdr:twoCellAnchor>
  <xdr:twoCellAnchor>
    <xdr:from>
      <xdr:col>13</xdr:col>
      <xdr:colOff>600075</xdr:colOff>
      <xdr:row>56</xdr:row>
      <xdr:rowOff>161925</xdr:rowOff>
    </xdr:from>
    <xdr:to>
      <xdr:col>15</xdr:col>
      <xdr:colOff>0</xdr:colOff>
      <xdr:row>60</xdr:row>
      <xdr:rowOff>6350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205CA055-2A18-4661-8DE9-4ECC8ACC830A}"/>
            </a:ext>
          </a:extLst>
        </xdr:cNvPr>
        <xdr:cNvCxnSpPr/>
      </xdr:nvCxnSpPr>
      <xdr:spPr>
        <a:xfrm flipV="1">
          <a:off x="8524875" y="4924425"/>
          <a:ext cx="619125" cy="587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561975</xdr:colOff>
      <xdr:row>65</xdr:row>
      <xdr:rowOff>133350</xdr:rowOff>
    </xdr:from>
    <xdr:to>
      <xdr:col>14</xdr:col>
      <xdr:colOff>600075</xdr:colOff>
      <xdr:row>69</xdr:row>
      <xdr:rowOff>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28B5C67A-C7F6-454F-B0CF-71DA3EC7C317}"/>
            </a:ext>
          </a:extLst>
        </xdr:cNvPr>
        <xdr:cNvCxnSpPr/>
      </xdr:nvCxnSpPr>
      <xdr:spPr>
        <a:xfrm>
          <a:off x="8486775" y="6553200"/>
          <a:ext cx="647700" cy="609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52</xdr:row>
      <xdr:rowOff>9525</xdr:rowOff>
    </xdr:from>
    <xdr:to>
      <xdr:col>20</xdr:col>
      <xdr:colOff>6350</xdr:colOff>
      <xdr:row>57</xdr:row>
      <xdr:rowOff>6350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B94BD10-752C-49D4-BC4E-5A5F987023EB}"/>
            </a:ext>
          </a:extLst>
        </xdr:cNvPr>
        <xdr:cNvSpPr/>
      </xdr:nvSpPr>
      <xdr:spPr>
        <a:xfrm>
          <a:off x="9144000" y="4048125"/>
          <a:ext cx="3054350" cy="90170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</a:rPr>
            <a:t>PCVA-VL ---MIN</a:t>
          </a:r>
          <a:r>
            <a:rPr lang="en-US" sz="1000" b="1" baseline="0">
              <a:solidFill>
                <a:schemeClr val="tx1"/>
              </a:solidFill>
            </a:rPr>
            <a:t> DIFFERENCE</a:t>
          </a:r>
          <a:r>
            <a:rPr lang="en-US" sz="1000" b="0">
              <a:solidFill>
                <a:schemeClr val="tx1"/>
              </a:solidFill>
            </a:rPr>
            <a:t>= </a:t>
          </a:r>
          <a:r>
            <a:rPr 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Determinar si los tres valores de absorbancia sustraídos en blanco son &lt; 0.3 diferentes entre sí restando el valor de absorbancia sustraído en blanco más pequeño del valor medio y el valor medio del valor más alto </a:t>
          </a:r>
          <a:r>
            <a:rPr lang="en-US" sz="1000" b="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13</xdr:col>
      <xdr:colOff>600075</xdr:colOff>
      <xdr:row>81</xdr:row>
      <xdr:rowOff>161925</xdr:rowOff>
    </xdr:from>
    <xdr:to>
      <xdr:col>15</xdr:col>
      <xdr:colOff>0</xdr:colOff>
      <xdr:row>85</xdr:row>
      <xdr:rowOff>6350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70D6916D-E182-4221-A5C3-7B6DD54889DA}"/>
            </a:ext>
          </a:extLst>
        </xdr:cNvPr>
        <xdr:cNvCxnSpPr/>
      </xdr:nvCxnSpPr>
      <xdr:spPr>
        <a:xfrm flipV="1">
          <a:off x="8521700" y="4921250"/>
          <a:ext cx="622300" cy="593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561975</xdr:colOff>
      <xdr:row>90</xdr:row>
      <xdr:rowOff>133350</xdr:rowOff>
    </xdr:from>
    <xdr:to>
      <xdr:col>14</xdr:col>
      <xdr:colOff>600075</xdr:colOff>
      <xdr:row>94</xdr:row>
      <xdr:rowOff>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D8F36E72-8514-42D3-8916-45B5842DAEC6}"/>
            </a:ext>
          </a:extLst>
        </xdr:cNvPr>
        <xdr:cNvCxnSpPr/>
      </xdr:nvCxnSpPr>
      <xdr:spPr>
        <a:xfrm>
          <a:off x="8483600" y="6553200"/>
          <a:ext cx="647700" cy="6096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78</xdr:row>
      <xdr:rowOff>6350</xdr:rowOff>
    </xdr:from>
    <xdr:to>
      <xdr:col>17</xdr:col>
      <xdr:colOff>295275</xdr:colOff>
      <xdr:row>81</xdr:row>
      <xdr:rowOff>168921</xdr:rowOff>
    </xdr:to>
    <xdr:sp macro="" textlink="">
      <xdr:nvSpPr>
        <xdr:cNvPr id="41" name="Rectangle 40">
          <a:extLst>
            <a:ext uri="{FF2B5EF4-FFF2-40B4-BE49-F238E27FC236}">
              <a16:creationId xmlns:a16="http://schemas.microsoft.com/office/drawing/2014/main" id="{BB1B3F56-620A-4CD9-B1D3-17C5B2567728}"/>
            </a:ext>
          </a:extLst>
        </xdr:cNvPr>
        <xdr:cNvSpPr/>
      </xdr:nvSpPr>
      <xdr:spPr>
        <a:xfrm>
          <a:off x="9163050" y="4229100"/>
          <a:ext cx="1492250" cy="702321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=Control positivo promedio sobre el antígeno de la fiebre amarilla </a:t>
          </a:r>
        </a:p>
      </xdr:txBody>
    </xdr:sp>
    <xdr:clientData/>
  </xdr:twoCellAnchor>
  <xdr:twoCellAnchor>
    <xdr:from>
      <xdr:col>15</xdr:col>
      <xdr:colOff>6350</xdr:colOff>
      <xdr:row>94</xdr:row>
      <xdr:rowOff>19049</xdr:rowOff>
    </xdr:from>
    <xdr:to>
      <xdr:col>20</xdr:col>
      <xdr:colOff>381000</xdr:colOff>
      <xdr:row>98</xdr:row>
      <xdr:rowOff>47624</xdr:rowOff>
    </xdr:to>
    <xdr:sp macro="" textlink="">
      <xdr:nvSpPr>
        <xdr:cNvPr id="42" name="Rectangle 41">
          <a:extLst>
            <a:ext uri="{FF2B5EF4-FFF2-40B4-BE49-F238E27FC236}">
              <a16:creationId xmlns:a16="http://schemas.microsoft.com/office/drawing/2014/main" id="{A57F4418-7AA3-40FE-805F-8E9BC9FED955}"/>
            </a:ext>
          </a:extLst>
        </xdr:cNvPr>
        <xdr:cNvSpPr/>
      </xdr:nvSpPr>
      <xdr:spPr>
        <a:xfrm>
          <a:off x="9150350" y="11791949"/>
          <a:ext cx="3422650" cy="75247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NCVA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 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Control negativo medio sobre el antígeno de la fiebre amarilla. </a:t>
          </a:r>
          <a:r>
            <a:rPr lang="en-US" sz="1050" b="0" baseline="0">
              <a:solidFill>
                <a:srgbClr val="FF0000"/>
              </a:solidFill>
            </a:rPr>
            <a:t>*Nota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: si el NCVA es inferior a 0,05 (&lt; 0,05), la hoja de cálculo de Excel utilizará 0,05 para todos los cálculos.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15</xdr:col>
      <xdr:colOff>19050</xdr:colOff>
      <xdr:row>68</xdr:row>
      <xdr:rowOff>171450</xdr:rowOff>
    </xdr:from>
    <xdr:to>
      <xdr:col>20</xdr:col>
      <xdr:colOff>25400</xdr:colOff>
      <xdr:row>73</xdr:row>
      <xdr:rowOff>177800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54D0ECA7-7414-4C35-8F2D-851E90812B85}"/>
            </a:ext>
          </a:extLst>
        </xdr:cNvPr>
        <xdr:cNvSpPr/>
      </xdr:nvSpPr>
      <xdr:spPr>
        <a:xfrm>
          <a:off x="9163050" y="7153275"/>
          <a:ext cx="3054350" cy="9112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tx1"/>
              </a:solidFill>
            </a:rPr>
            <a:t>NCVA-VL ---MIN</a:t>
          </a:r>
          <a:r>
            <a:rPr lang="en-US" sz="1000" b="1" baseline="0">
              <a:solidFill>
                <a:schemeClr val="tx1"/>
              </a:solidFill>
            </a:rPr>
            <a:t> DIFFERENCE</a:t>
          </a:r>
          <a:r>
            <a:rPr lang="en-US" sz="1000" b="0">
              <a:solidFill>
                <a:schemeClr val="tx1"/>
              </a:solidFill>
            </a:rPr>
            <a:t>= </a:t>
          </a:r>
          <a:r>
            <a:rPr lang="en-US" sz="1000" b="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etermine si los tres valores de absorbancia sustraídos en blanco son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&lt; 0.025 diferentes entre sí restando el valor de absorbancia sustraído en blanco más pequeño del valor medio, y el valor medio del valor más alto</a:t>
          </a:r>
          <a:r>
            <a:rPr lang="en-US" sz="1000" b="0">
              <a:solidFill>
                <a:schemeClr val="tx1"/>
              </a:solidFill>
            </a:rPr>
            <a:t> </a:t>
          </a:r>
        </a:p>
      </xdr:txBody>
    </xdr:sp>
    <xdr:clientData/>
  </xdr:twoCellAnchor>
  <xdr:twoCellAnchor>
    <xdr:from>
      <xdr:col>0</xdr:col>
      <xdr:colOff>38100</xdr:colOff>
      <xdr:row>58</xdr:row>
      <xdr:rowOff>187325</xdr:rowOff>
    </xdr:from>
    <xdr:to>
      <xdr:col>2</xdr:col>
      <xdr:colOff>314325</xdr:colOff>
      <xdr:row>62</xdr:row>
      <xdr:rowOff>162571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104BD395-364A-4039-9B59-407A898F63F9}"/>
            </a:ext>
          </a:extLst>
        </xdr:cNvPr>
        <xdr:cNvSpPr/>
      </xdr:nvSpPr>
      <xdr:spPr>
        <a:xfrm>
          <a:off x="38100" y="5311775"/>
          <a:ext cx="1495425" cy="7181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PCVA-VL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MIN DIFFERENCE &amp;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NCVA-VL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 MIN DIFFERENCE 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0</xdr:col>
      <xdr:colOff>38100</xdr:colOff>
      <xdr:row>84</xdr:row>
      <xdr:rowOff>25400</xdr:rowOff>
    </xdr:from>
    <xdr:to>
      <xdr:col>2</xdr:col>
      <xdr:colOff>311150</xdr:colOff>
      <xdr:row>88</xdr:row>
      <xdr:rowOff>646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F142250B-1642-4336-96B9-38B9FB0863CD}"/>
            </a:ext>
          </a:extLst>
        </xdr:cNvPr>
        <xdr:cNvSpPr/>
      </xdr:nvSpPr>
      <xdr:spPr>
        <a:xfrm>
          <a:off x="38100" y="9950450"/>
          <a:ext cx="1492250" cy="718196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Calcular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PCVA, PCNA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</a:t>
          </a:r>
          <a:r>
            <a:rPr lang="en-US" sz="1050" b="0" baseline="0">
              <a:solidFill>
                <a:schemeClr val="tx1">
                  <a:lumMod val="95000"/>
                  <a:lumOff val="5000"/>
                </a:schemeClr>
              </a:solidFill>
            </a:rPr>
            <a:t>&amp; 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NCVA</a:t>
          </a:r>
          <a:endParaRPr lang="en-US" sz="1050" b="0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14</xdr:col>
      <xdr:colOff>590550</xdr:colOff>
      <xdr:row>86</xdr:row>
      <xdr:rowOff>85725</xdr:rowOff>
    </xdr:from>
    <xdr:to>
      <xdr:col>17</xdr:col>
      <xdr:colOff>0</xdr:colOff>
      <xdr:row>86</xdr:row>
      <xdr:rowOff>85725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5E04C9E3-707B-4511-BB55-340530FF4186}"/>
            </a:ext>
          </a:extLst>
        </xdr:cNvPr>
        <xdr:cNvCxnSpPr/>
      </xdr:nvCxnSpPr>
      <xdr:spPr>
        <a:xfrm>
          <a:off x="9124950" y="10382250"/>
          <a:ext cx="12382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6350</xdr:colOff>
      <xdr:row>84</xdr:row>
      <xdr:rowOff>177801</xdr:rowOff>
    </xdr:from>
    <xdr:to>
      <xdr:col>19</xdr:col>
      <xdr:colOff>266700</xdr:colOff>
      <xdr:row>88</xdr:row>
      <xdr:rowOff>38101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8865C56C-98AA-425D-B072-4C263925F29A}"/>
            </a:ext>
          </a:extLst>
        </xdr:cNvPr>
        <xdr:cNvSpPr/>
      </xdr:nvSpPr>
      <xdr:spPr>
        <a:xfrm>
          <a:off x="10369550" y="10102851"/>
          <a:ext cx="1479550" cy="603250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PCNA</a:t>
          </a:r>
          <a:r>
            <a:rPr lang="en-US" sz="1050" b="0">
              <a:solidFill>
                <a:schemeClr val="tx1">
                  <a:lumMod val="95000"/>
                  <a:lumOff val="5000"/>
                </a:schemeClr>
              </a:solidFill>
            </a:rPr>
            <a:t>=Control positivo promedio en antígeno normal  </a:t>
          </a:r>
        </a:p>
      </xdr:txBody>
    </xdr:sp>
    <xdr:clientData/>
  </xdr:twoCellAnchor>
  <xdr:twoCellAnchor>
    <xdr:from>
      <xdr:col>3</xdr:col>
      <xdr:colOff>1</xdr:colOff>
      <xdr:row>103</xdr:row>
      <xdr:rowOff>1</xdr:rowOff>
    </xdr:from>
    <xdr:to>
      <xdr:col>4</xdr:col>
      <xdr:colOff>1</xdr:colOff>
      <xdr:row>104</xdr:row>
      <xdr:rowOff>28576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8130AE8-90C3-493B-A144-CA65E2C893EF}"/>
            </a:ext>
          </a:extLst>
        </xdr:cNvPr>
        <xdr:cNvSpPr/>
      </xdr:nvSpPr>
      <xdr:spPr>
        <a:xfrm>
          <a:off x="1828801" y="12858751"/>
          <a:ext cx="609600" cy="20955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VA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3</xdr:col>
      <xdr:colOff>590550</xdr:colOff>
      <xdr:row>104</xdr:row>
      <xdr:rowOff>38100</xdr:rowOff>
    </xdr:from>
    <xdr:to>
      <xdr:col>4</xdr:col>
      <xdr:colOff>590550</xdr:colOff>
      <xdr:row>106</xdr:row>
      <xdr:rowOff>158750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1F57C879-BAE0-4778-98A7-DDBDC9275788}"/>
            </a:ext>
          </a:extLst>
        </xdr:cNvPr>
        <xdr:cNvCxnSpPr/>
      </xdr:nvCxnSpPr>
      <xdr:spPr>
        <a:xfrm flipH="1" flipV="1">
          <a:off x="2419350" y="13077825"/>
          <a:ext cx="609600" cy="492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103</xdr:row>
      <xdr:rowOff>15875</xdr:rowOff>
    </xdr:from>
    <xdr:to>
      <xdr:col>9</xdr:col>
      <xdr:colOff>28575</xdr:colOff>
      <xdr:row>104</xdr:row>
      <xdr:rowOff>47625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7903ABC5-ED36-4D51-B6E7-F428D2AE78CB}"/>
            </a:ext>
          </a:extLst>
        </xdr:cNvPr>
        <xdr:cNvSpPr/>
      </xdr:nvSpPr>
      <xdr:spPr>
        <a:xfrm>
          <a:off x="4905375" y="12874625"/>
          <a:ext cx="609600" cy="212725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7</xdr:col>
      <xdr:colOff>0</xdr:colOff>
      <xdr:row>104</xdr:row>
      <xdr:rowOff>28575</xdr:rowOff>
    </xdr:from>
    <xdr:to>
      <xdr:col>8</xdr:col>
      <xdr:colOff>34925</xdr:colOff>
      <xdr:row>106</xdr:row>
      <xdr:rowOff>171450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8446135F-E71C-49A5-B73D-D0360E08F8FC}"/>
            </a:ext>
          </a:extLst>
        </xdr:cNvPr>
        <xdr:cNvCxnSpPr/>
      </xdr:nvCxnSpPr>
      <xdr:spPr>
        <a:xfrm flipV="1">
          <a:off x="4267200" y="13068300"/>
          <a:ext cx="644525" cy="514350"/>
        </a:xfrm>
        <a:prstGeom prst="straightConnector1">
          <a:avLst/>
        </a:prstGeom>
        <a:ln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102</xdr:row>
      <xdr:rowOff>47626</xdr:rowOff>
    </xdr:from>
    <xdr:to>
      <xdr:col>18</xdr:col>
      <xdr:colOff>9526</xdr:colOff>
      <xdr:row>104</xdr:row>
      <xdr:rowOff>0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8C077C91-B544-4E53-9FFA-583560E6FAB9}"/>
            </a:ext>
          </a:extLst>
        </xdr:cNvPr>
        <xdr:cNvSpPr/>
      </xdr:nvSpPr>
      <xdr:spPr>
        <a:xfrm>
          <a:off x="9877425" y="13287376"/>
          <a:ext cx="1104901" cy="314324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PROMEDIO VA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>
    <xdr:from>
      <xdr:col>18</xdr:col>
      <xdr:colOff>0</xdr:colOff>
      <xdr:row>104</xdr:row>
      <xdr:rowOff>19050</xdr:rowOff>
    </xdr:from>
    <xdr:to>
      <xdr:col>18</xdr:col>
      <xdr:colOff>590550</xdr:colOff>
      <xdr:row>106</xdr:row>
      <xdr:rowOff>161925</xdr:rowOff>
    </xdr:to>
    <xdr:cxnSp macro="">
      <xdr:nvCxnSpPr>
        <xdr:cNvPr id="81" name="Straight Arrow Connector 80">
          <a:extLst>
            <a:ext uri="{FF2B5EF4-FFF2-40B4-BE49-F238E27FC236}">
              <a16:creationId xmlns:a16="http://schemas.microsoft.com/office/drawing/2014/main" id="{7B9CCE03-7088-414A-8B79-549DA2EF66D0}"/>
            </a:ext>
          </a:extLst>
        </xdr:cNvPr>
        <xdr:cNvCxnSpPr/>
      </xdr:nvCxnSpPr>
      <xdr:spPr>
        <a:xfrm flipH="1" flipV="1">
          <a:off x="10972800" y="13620750"/>
          <a:ext cx="590550" cy="5143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104</xdr:row>
      <xdr:rowOff>28575</xdr:rowOff>
    </xdr:from>
    <xdr:to>
      <xdr:col>22</xdr:col>
      <xdr:colOff>34925</xdr:colOff>
      <xdr:row>106</xdr:row>
      <xdr:rowOff>171450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id="{29F06AD1-433C-4ECB-B654-E709AD70B9FF}"/>
            </a:ext>
          </a:extLst>
        </xdr:cNvPr>
        <xdr:cNvCxnSpPr/>
      </xdr:nvCxnSpPr>
      <xdr:spPr>
        <a:xfrm flipV="1">
          <a:off x="4267200" y="13065125"/>
          <a:ext cx="644525" cy="517525"/>
        </a:xfrm>
        <a:prstGeom prst="straightConnector1">
          <a:avLst/>
        </a:prstGeom>
        <a:ln>
          <a:solidFill>
            <a:schemeClr val="tx1">
              <a:lumMod val="95000"/>
              <a:lumOff val="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47625</xdr:colOff>
      <xdr:row>102</xdr:row>
      <xdr:rowOff>104775</xdr:rowOff>
    </xdr:from>
    <xdr:to>
      <xdr:col>23</xdr:col>
      <xdr:colOff>542926</xdr:colOff>
      <xdr:row>104</xdr:row>
      <xdr:rowOff>60324</xdr:rowOff>
    </xdr:to>
    <xdr:sp macro="" textlink="">
      <xdr:nvSpPr>
        <xdr:cNvPr id="85" name="Rectangle 84">
          <a:extLst>
            <a:ext uri="{FF2B5EF4-FFF2-40B4-BE49-F238E27FC236}">
              <a16:creationId xmlns:a16="http://schemas.microsoft.com/office/drawing/2014/main" id="{3D5EFD76-AB6F-4458-ADA8-0D56A0E8FEE5}"/>
            </a:ext>
          </a:extLst>
        </xdr:cNvPr>
        <xdr:cNvSpPr/>
      </xdr:nvSpPr>
      <xdr:spPr>
        <a:xfrm>
          <a:off x="13458825" y="13344525"/>
          <a:ext cx="1104901" cy="317499"/>
        </a:xfrm>
        <a:prstGeom prst="rect">
          <a:avLst/>
        </a:prstGeom>
        <a:solidFill>
          <a:schemeClr val="bg1"/>
        </a:solidFill>
        <a:ln w="19050">
          <a:solidFill>
            <a:schemeClr val="tx1">
              <a:lumMod val="95000"/>
              <a:lumOff val="5000"/>
            </a:schemeClr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50" b="1">
              <a:solidFill>
                <a:schemeClr val="tx1">
                  <a:lumMod val="95000"/>
                  <a:lumOff val="5000"/>
                </a:schemeClr>
              </a:solidFill>
            </a:rPr>
            <a:t>PROMEDIO NA</a:t>
          </a:r>
          <a:r>
            <a:rPr lang="en-US" sz="1050" b="1" baseline="0">
              <a:solidFill>
                <a:schemeClr val="tx1">
                  <a:lumMod val="95000"/>
                  <a:lumOff val="5000"/>
                </a:schemeClr>
              </a:solidFill>
            </a:rPr>
            <a:t> OD</a:t>
          </a:r>
          <a:endParaRPr lang="en-US" sz="105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twoCellAnchor>
  <xdr:twoCellAnchor editAs="oneCell">
    <xdr:from>
      <xdr:col>3</xdr:col>
      <xdr:colOff>295275</xdr:colOff>
      <xdr:row>2</xdr:row>
      <xdr:rowOff>180975</xdr:rowOff>
    </xdr:from>
    <xdr:to>
      <xdr:col>9</xdr:col>
      <xdr:colOff>186690</xdr:colOff>
      <xdr:row>17</xdr:row>
      <xdr:rowOff>133350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DAB3B3B-AD41-4254-8079-C13A860C6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581025"/>
          <a:ext cx="3549015" cy="2809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285750</xdr:colOff>
      <xdr:row>2</xdr:row>
      <xdr:rowOff>142875</xdr:rowOff>
    </xdr:from>
    <xdr:to>
      <xdr:col>23</xdr:col>
      <xdr:colOff>171450</xdr:colOff>
      <xdr:row>17</xdr:row>
      <xdr:rowOff>90170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9B5EB2E5-C899-439B-8A66-1973C6D99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542925"/>
          <a:ext cx="3543300" cy="280479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152400</xdr:colOff>
      <xdr:row>1</xdr:row>
      <xdr:rowOff>19050</xdr:rowOff>
    </xdr:from>
    <xdr:to>
      <xdr:col>15</xdr:col>
      <xdr:colOff>457199</xdr:colOff>
      <xdr:row>17</xdr:row>
      <xdr:rowOff>44450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8C238E47-1C05-4DF4-9247-B83833FD2FDF}"/>
            </a:ext>
          </a:extLst>
        </xdr:cNvPr>
        <xdr:cNvSpPr/>
      </xdr:nvSpPr>
      <xdr:spPr>
        <a:xfrm>
          <a:off x="6858000" y="209550"/>
          <a:ext cx="2743199" cy="29781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olid"/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50" b="1" u="sng">
              <a:solidFill>
                <a:schemeClr val="tx1"/>
              </a:solidFill>
              <a:latin typeface="+mn-lt"/>
            </a:rPr>
            <a:t>Spreadsheet Acronyms</a:t>
          </a:r>
        </a:p>
        <a:p>
          <a:pPr algn="l"/>
          <a:r>
            <a:rPr lang="en-US" sz="1050" b="1">
              <a:solidFill>
                <a:schemeClr val="tx1"/>
              </a:solidFill>
              <a:latin typeface="+mn-lt"/>
            </a:rPr>
            <a:t>OD</a:t>
          </a:r>
          <a:r>
            <a:rPr lang="en-US" sz="1050">
              <a:solidFill>
                <a:schemeClr val="tx1"/>
              </a:solidFill>
              <a:latin typeface="+mn-lt"/>
            </a:rPr>
            <a:t> = </a:t>
          </a:r>
          <a:r>
            <a:rPr lang="es-ES" sz="1050" b="0" i="0">
              <a:solidFill>
                <a:srgbClr val="202124"/>
              </a:solidFill>
              <a:effectLst/>
              <a:latin typeface="+mn-lt"/>
            </a:rPr>
            <a:t>Densidad óptica</a:t>
          </a:r>
          <a:endParaRPr lang="en-US" sz="1050">
            <a:solidFill>
              <a:schemeClr val="tx1"/>
            </a:solidFill>
            <a:latin typeface="+mn-lt"/>
          </a:endParaRPr>
        </a:p>
        <a:p>
          <a:pPr algn="l"/>
          <a:r>
            <a:rPr lang="en-US" sz="1050" b="1">
              <a:solidFill>
                <a:schemeClr val="tx1"/>
              </a:solidFill>
              <a:latin typeface="+mn-lt"/>
            </a:rPr>
            <a:t>YF</a:t>
          </a:r>
          <a:r>
            <a:rPr lang="en-US" sz="1050">
              <a:solidFill>
                <a:schemeClr val="tx1"/>
              </a:solidFill>
              <a:latin typeface="+mn-lt"/>
            </a:rPr>
            <a:t> = </a:t>
          </a:r>
          <a:r>
            <a:rPr lang="es-ES" sz="1050" b="0" i="0">
              <a:solidFill>
                <a:srgbClr val="202124"/>
              </a:solidFill>
              <a:effectLst/>
              <a:latin typeface="+mn-lt"/>
            </a:rPr>
            <a:t>Fiebre amarilla</a:t>
          </a:r>
          <a:endParaRPr lang="en-US" sz="1050">
            <a:solidFill>
              <a:schemeClr val="tx1"/>
            </a:solidFill>
            <a:latin typeface="+mn-lt"/>
          </a:endParaRPr>
        </a:p>
        <a:p>
          <a:r>
            <a:rPr lang="en-US" sz="1050" b="1">
              <a:solidFill>
                <a:schemeClr val="tx1"/>
              </a:solidFill>
              <a:latin typeface="+mn-lt"/>
            </a:rPr>
            <a:t>VA</a:t>
          </a:r>
          <a:r>
            <a:rPr lang="en-US" sz="1050">
              <a:solidFill>
                <a:schemeClr val="tx1"/>
              </a:solidFill>
              <a:latin typeface="+mn-lt"/>
            </a:rPr>
            <a:t> = Antígeno Viral (YF)</a:t>
          </a:r>
        </a:p>
        <a:p>
          <a:r>
            <a:rPr lang="en-US" sz="1050" b="1">
              <a:solidFill>
                <a:schemeClr val="tx1"/>
              </a:solidFill>
              <a:latin typeface="+mn-lt"/>
            </a:rPr>
            <a:t>NA</a:t>
          </a:r>
          <a:r>
            <a:rPr lang="en-US" sz="1050">
              <a:solidFill>
                <a:schemeClr val="tx1"/>
              </a:solidFill>
              <a:latin typeface="+mn-lt"/>
            </a:rPr>
            <a:t> = Antígeno Normal</a:t>
          </a:r>
        </a:p>
        <a:p>
          <a:r>
            <a:rPr lang="en-US" sz="1050" b="1">
              <a:solidFill>
                <a:schemeClr val="tx1"/>
              </a:solidFill>
              <a:latin typeface="+mn-lt"/>
            </a:rPr>
            <a:t>PC</a:t>
          </a:r>
          <a:r>
            <a:rPr lang="en-US" sz="1050">
              <a:solidFill>
                <a:schemeClr val="tx1"/>
              </a:solidFill>
              <a:latin typeface="+mn-lt"/>
            </a:rPr>
            <a:t> = Control Positivo </a:t>
          </a:r>
        </a:p>
        <a:p>
          <a:r>
            <a:rPr lang="en-US" sz="1050" b="1">
              <a:solidFill>
                <a:schemeClr val="tx1"/>
              </a:solidFill>
              <a:latin typeface="+mn-lt"/>
            </a:rPr>
            <a:t>NC</a:t>
          </a:r>
          <a:r>
            <a:rPr lang="en-US" sz="1050">
              <a:solidFill>
                <a:schemeClr val="tx1"/>
              </a:solidFill>
              <a:latin typeface="+mn-lt"/>
            </a:rPr>
            <a:t> = Control </a:t>
          </a:r>
          <a:r>
            <a:rPr kumimoji="0" 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Negativo</a:t>
          </a:r>
          <a:endParaRPr lang="en-US" sz="1050">
            <a:solidFill>
              <a:schemeClr val="tx1"/>
            </a:solidFill>
            <a:latin typeface="+mn-lt"/>
          </a:endParaRPr>
        </a:p>
        <a:p>
          <a:r>
            <a:rPr lang="en-US" sz="1050" b="1">
              <a:solidFill>
                <a:schemeClr val="tx1"/>
              </a:solidFill>
              <a:latin typeface="+mn-lt"/>
            </a:rPr>
            <a:t>PCVA</a:t>
          </a:r>
          <a:r>
            <a:rPr lang="en-US" sz="1050">
              <a:solidFill>
                <a:schemeClr val="tx1"/>
              </a:solidFill>
              <a:latin typeface="+mn-lt"/>
            </a:rPr>
            <a:t> = Promedio PC on VA</a:t>
          </a:r>
        </a:p>
        <a:p>
          <a:r>
            <a:rPr lang="en-US" sz="1050" b="1">
              <a:solidFill>
                <a:schemeClr val="tx1"/>
              </a:solidFill>
              <a:latin typeface="+mn-lt"/>
            </a:rPr>
            <a:t>NCVA</a:t>
          </a:r>
          <a:r>
            <a:rPr lang="en-US" sz="1050">
              <a:solidFill>
                <a:schemeClr val="tx1"/>
              </a:solidFill>
              <a:latin typeface="+mn-lt"/>
            </a:rPr>
            <a:t> = Promedio NC on VA</a:t>
          </a:r>
        </a:p>
        <a:p>
          <a:r>
            <a:rPr lang="en-US" sz="1050" b="1">
              <a:solidFill>
                <a:schemeClr val="tx1"/>
              </a:solidFill>
              <a:latin typeface="+mn-lt"/>
            </a:rPr>
            <a:t>PCNA</a:t>
          </a:r>
          <a:r>
            <a:rPr lang="en-US" sz="1050">
              <a:solidFill>
                <a:schemeClr val="tx1"/>
              </a:solidFill>
              <a:latin typeface="+mn-lt"/>
            </a:rPr>
            <a:t> = Promedio PC on NA</a:t>
          </a:r>
        </a:p>
        <a:p>
          <a:r>
            <a:rPr lang="en-US" sz="1050" b="1">
              <a:solidFill>
                <a:sysClr val="windowText" lastClr="000000"/>
              </a:solidFill>
              <a:latin typeface="+mn-lt"/>
            </a:rPr>
            <a:t>PCVA-VL</a:t>
          </a:r>
          <a:r>
            <a:rPr lang="en-US" sz="1050" b="0" baseline="0">
              <a:solidFill>
                <a:sysClr val="windowText" lastClr="000000"/>
              </a:solidFill>
              <a:latin typeface="+mn-lt"/>
            </a:rPr>
            <a:t> = PCVA variability limit</a:t>
          </a:r>
        </a:p>
        <a:p>
          <a:r>
            <a:rPr lang="en-US" sz="1050" b="1" baseline="0">
              <a:solidFill>
                <a:sysClr val="windowText" lastClr="000000"/>
              </a:solidFill>
              <a:latin typeface="+mn-lt"/>
            </a:rPr>
            <a:t>NCVA-VL</a:t>
          </a:r>
          <a:r>
            <a:rPr lang="en-US" sz="1050" b="0" baseline="0">
              <a:solidFill>
                <a:sysClr val="windowText" lastClr="000000"/>
              </a:solidFill>
              <a:latin typeface="+mn-lt"/>
            </a:rPr>
            <a:t> = NCVA variability limit</a:t>
          </a:r>
          <a:endParaRPr lang="en-US" sz="1050" b="1">
            <a:solidFill>
              <a:sysClr val="windowText" lastClr="000000"/>
            </a:solidFill>
            <a:latin typeface="+mn-lt"/>
          </a:endParaRPr>
        </a:p>
        <a:p>
          <a:r>
            <a:rPr lang="en-US" sz="1050" b="1">
              <a:solidFill>
                <a:schemeClr val="tx1"/>
              </a:solidFill>
              <a:latin typeface="+mn-lt"/>
            </a:rPr>
            <a:t>NBR</a:t>
          </a:r>
          <a:r>
            <a:rPr lang="en-US" sz="1050">
              <a:solidFill>
                <a:schemeClr val="tx1"/>
              </a:solidFill>
              <a:latin typeface="+mn-lt"/>
            </a:rPr>
            <a:t> = Relación de fondo normal </a:t>
          </a:r>
        </a:p>
        <a:p>
          <a:r>
            <a:rPr lang="en-US" sz="1050" b="1">
              <a:solidFill>
                <a:schemeClr val="tx1"/>
              </a:solidFill>
              <a:latin typeface="+mn-lt"/>
            </a:rPr>
            <a:t>P/N </a:t>
          </a:r>
          <a:r>
            <a:rPr lang="en-US" sz="1050">
              <a:solidFill>
                <a:schemeClr val="tx1"/>
              </a:solidFill>
              <a:latin typeface="+mn-lt"/>
            </a:rPr>
            <a:t>= Proporción de absorbancia promedio con antígeno viral a absorbancia promedio del control negativo con antígeno viral</a:t>
          </a:r>
          <a:endParaRPr lang="en-US" sz="1600">
            <a:solidFill>
              <a:schemeClr val="tx1"/>
            </a:solidFill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9525</xdr:colOff>
      <xdr:row>72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7DF3B6-FD53-E185-3FE9-51F657A6A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0" cy="1525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0</xdr:colOff>
      <xdr:row>72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7F29FF0-89F7-C2BB-2241-F73281FD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440150" cy="1517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49"/>
  <sheetViews>
    <sheetView zoomScaleNormal="100" workbookViewId="0">
      <selection activeCell="I23" sqref="I23"/>
    </sheetView>
  </sheetViews>
  <sheetFormatPr defaultColWidth="9.140625" defaultRowHeight="15" x14ac:dyDescent="0.25"/>
  <cols>
    <col min="1" max="23" width="9.140625" style="14"/>
    <col min="24" max="24" width="37.28515625" style="14" customWidth="1"/>
    <col min="25" max="16384" width="9.140625" style="14"/>
  </cols>
  <sheetData>
    <row r="2" spans="1:24" ht="21" x14ac:dyDescent="0.35">
      <c r="A2" s="221" t="s">
        <v>195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6"/>
      <c r="M2" s="56"/>
      <c r="N2" s="56"/>
      <c r="O2" s="56"/>
      <c r="P2" s="56"/>
    </row>
    <row r="3" spans="1:24" ht="21" x14ac:dyDescent="0.35">
      <c r="A3" s="56">
        <v>1</v>
      </c>
      <c r="B3" s="56" t="s">
        <v>196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24" ht="21" x14ac:dyDescent="0.35">
      <c r="A4" s="119">
        <v>2</v>
      </c>
      <c r="B4" s="119" t="s">
        <v>197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/>
      <c r="Q4" s="120"/>
      <c r="R4" s="120"/>
      <c r="S4" s="120"/>
      <c r="T4" s="120"/>
      <c r="U4" s="120"/>
      <c r="V4" s="120"/>
      <c r="W4" s="120"/>
      <c r="X4" s="120"/>
    </row>
    <row r="5" spans="1:24" ht="21" x14ac:dyDescent="0.35">
      <c r="A5" s="119">
        <v>3</v>
      </c>
      <c r="B5" s="119" t="s">
        <v>198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20"/>
      <c r="Q5" s="120"/>
      <c r="R5" s="120"/>
      <c r="S5" s="120"/>
      <c r="T5" s="120"/>
      <c r="U5" s="120"/>
      <c r="V5" s="120"/>
    </row>
    <row r="6" spans="1:24" ht="21" x14ac:dyDescent="0.35">
      <c r="A6" s="119"/>
      <c r="B6" s="119" t="s">
        <v>199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20"/>
      <c r="Q6" s="120"/>
      <c r="R6" s="120"/>
      <c r="S6" s="120"/>
      <c r="T6" s="120"/>
      <c r="U6" s="120"/>
      <c r="V6" s="120"/>
    </row>
    <row r="7" spans="1:24" ht="21" x14ac:dyDescent="0.35">
      <c r="A7" s="119">
        <v>4</v>
      </c>
      <c r="B7" s="119" t="s">
        <v>200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20"/>
      <c r="Q7" s="120"/>
      <c r="R7" s="120"/>
      <c r="S7" s="120"/>
      <c r="T7" s="120"/>
      <c r="U7" s="120"/>
      <c r="V7" s="120"/>
    </row>
    <row r="8" spans="1:24" ht="21" x14ac:dyDescent="0.35">
      <c r="A8" s="119">
        <v>5</v>
      </c>
      <c r="B8" s="119" t="s">
        <v>201</v>
      </c>
      <c r="C8" s="120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20"/>
      <c r="Q8" s="120"/>
      <c r="R8" s="120"/>
      <c r="S8" s="120"/>
      <c r="T8" s="120"/>
      <c r="U8" s="120"/>
      <c r="V8" s="120"/>
    </row>
    <row r="9" spans="1:24" ht="21" x14ac:dyDescent="0.35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20"/>
      <c r="Q9" s="120"/>
      <c r="R9" s="120"/>
      <c r="S9" s="120"/>
      <c r="T9" s="120"/>
      <c r="U9" s="120"/>
      <c r="V9" s="120"/>
    </row>
    <row r="10" spans="1:24" ht="21" x14ac:dyDescent="0.35">
      <c r="A10" s="119"/>
      <c r="B10" s="119" t="s">
        <v>202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0"/>
      <c r="Q10" s="120"/>
      <c r="R10" s="120"/>
      <c r="S10" s="120"/>
      <c r="T10" s="120"/>
      <c r="U10" s="120"/>
      <c r="V10" s="120"/>
    </row>
    <row r="11" spans="1:24" ht="21" x14ac:dyDescent="0.3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24" ht="21" x14ac:dyDescent="0.3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5" spans="1:24" ht="21" x14ac:dyDescent="0.35">
      <c r="A15" s="55"/>
      <c r="B15" s="57"/>
      <c r="C15" s="57"/>
    </row>
    <row r="16" spans="1:24" ht="21" x14ac:dyDescent="0.35">
      <c r="A16" s="58"/>
      <c r="B16" s="58"/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</row>
    <row r="17" spans="1:17" ht="21" x14ac:dyDescent="0.35">
      <c r="A17" s="58"/>
      <c r="B17" s="58"/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spans="1:17" ht="21" x14ac:dyDescent="0.35">
      <c r="A18" s="58"/>
      <c r="B18" s="58"/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spans="1:17" ht="21" x14ac:dyDescent="0.35">
      <c r="A19" s="58"/>
      <c r="B19" s="58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spans="1:17" ht="21" x14ac:dyDescent="0.35">
      <c r="A20" s="58"/>
      <c r="B20" s="58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spans="1:17" ht="21" x14ac:dyDescent="0.35">
      <c r="A21" s="58"/>
      <c r="B21" s="58"/>
      <c r="C21" s="58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spans="1:17" ht="21" x14ac:dyDescent="0.35">
      <c r="A22" s="58"/>
      <c r="B22" s="58"/>
      <c r="C22" s="58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7" ht="21" x14ac:dyDescent="0.35">
      <c r="A23" s="58"/>
      <c r="B23" s="58"/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17" ht="21" x14ac:dyDescent="0.35">
      <c r="A24" s="58"/>
      <c r="B24" s="58"/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17" ht="21" x14ac:dyDescent="0.35">
      <c r="A25" s="58"/>
      <c r="B25" s="58"/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</row>
    <row r="28" spans="1:17" ht="21" x14ac:dyDescent="0.35">
      <c r="A28" s="55"/>
      <c r="B28" s="56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17" ht="21" x14ac:dyDescent="0.35">
      <c r="A29" s="61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3"/>
      <c r="M29" s="63"/>
      <c r="N29" s="64"/>
      <c r="O29" s="64"/>
    </row>
    <row r="30" spans="1:17" ht="21" x14ac:dyDescent="0.35">
      <c r="A30" s="61"/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3"/>
      <c r="M30" s="63"/>
      <c r="N30" s="64"/>
      <c r="O30" s="64"/>
    </row>
    <row r="31" spans="1:17" ht="21" x14ac:dyDescent="0.35">
      <c r="A31" s="61"/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3"/>
      <c r="M31" s="63"/>
      <c r="N31" s="64"/>
      <c r="O31" s="64"/>
    </row>
    <row r="32" spans="1:17" ht="21" x14ac:dyDescent="0.35">
      <c r="A32" s="61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3"/>
      <c r="M32" s="63"/>
      <c r="N32" s="64"/>
      <c r="O32" s="64"/>
    </row>
    <row r="33" spans="1:17" ht="21" x14ac:dyDescent="0.35">
      <c r="A33" s="61"/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3"/>
      <c r="M33" s="63"/>
      <c r="N33" s="64"/>
      <c r="O33" s="64"/>
    </row>
    <row r="34" spans="1:17" ht="21" x14ac:dyDescent="0.35">
      <c r="A34" s="61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3"/>
      <c r="M34" s="63"/>
      <c r="N34" s="64"/>
      <c r="O34" s="64"/>
    </row>
    <row r="35" spans="1:17" ht="21" x14ac:dyDescent="0.35">
      <c r="A35" s="61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3"/>
      <c r="M35" s="63"/>
      <c r="N35" s="64"/>
      <c r="O35" s="64"/>
    </row>
    <row r="36" spans="1:17" ht="21" x14ac:dyDescent="0.35">
      <c r="A36" s="61"/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4"/>
      <c r="O36" s="64"/>
    </row>
    <row r="37" spans="1:17" ht="21" x14ac:dyDescent="0.3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</row>
    <row r="40" spans="1:17" ht="21" x14ac:dyDescent="0.35">
      <c r="A40" s="55"/>
      <c r="B40" s="55"/>
      <c r="C40" s="65"/>
      <c r="D40" s="65"/>
      <c r="E40" s="65"/>
      <c r="F40" s="65"/>
      <c r="G40" s="65"/>
    </row>
    <row r="41" spans="1:17" ht="21" x14ac:dyDescent="0.35">
      <c r="A41" s="66"/>
      <c r="B41" s="66"/>
      <c r="C41" s="67"/>
      <c r="D41" s="67"/>
      <c r="E41" s="67"/>
      <c r="F41" s="67"/>
      <c r="G41" s="67"/>
      <c r="H41" s="67"/>
      <c r="I41" s="67"/>
      <c r="J41" s="68"/>
      <c r="K41" s="68"/>
      <c r="L41" s="68"/>
      <c r="M41" s="68"/>
      <c r="N41" s="68"/>
      <c r="O41" s="68"/>
      <c r="P41" s="68"/>
      <c r="Q41" s="68"/>
    </row>
    <row r="42" spans="1:17" ht="21" x14ac:dyDescent="0.35">
      <c r="A42" s="66"/>
      <c r="B42" s="66"/>
      <c r="C42" s="67"/>
      <c r="D42" s="67"/>
      <c r="E42" s="67"/>
      <c r="F42" s="67"/>
      <c r="G42" s="67"/>
      <c r="H42" s="67"/>
      <c r="I42" s="67"/>
      <c r="J42" s="68"/>
      <c r="K42" s="68"/>
      <c r="L42" s="68"/>
      <c r="M42" s="68"/>
      <c r="N42" s="68"/>
      <c r="O42" s="68"/>
      <c r="P42" s="68"/>
      <c r="Q42" s="68"/>
    </row>
    <row r="43" spans="1:17" ht="21" x14ac:dyDescent="0.35">
      <c r="A43" s="66"/>
      <c r="B43" s="66"/>
      <c r="C43" s="67"/>
      <c r="D43" s="67"/>
      <c r="E43" s="67"/>
      <c r="F43" s="67"/>
      <c r="G43" s="67"/>
      <c r="H43" s="67"/>
      <c r="I43" s="67"/>
      <c r="J43" s="68"/>
      <c r="K43" s="68"/>
      <c r="L43" s="68"/>
      <c r="M43" s="68"/>
      <c r="N43" s="68"/>
      <c r="O43" s="68"/>
      <c r="P43" s="68"/>
      <c r="Q43" s="68"/>
    </row>
    <row r="44" spans="1:17" ht="21" x14ac:dyDescent="0.35">
      <c r="A44" s="66"/>
      <c r="B44" s="66"/>
      <c r="C44" s="67"/>
      <c r="D44" s="67"/>
      <c r="E44" s="67"/>
      <c r="F44" s="67"/>
      <c r="G44" s="67"/>
      <c r="H44" s="67"/>
      <c r="I44" s="67"/>
      <c r="J44" s="68"/>
      <c r="K44" s="68"/>
      <c r="L44" s="68"/>
      <c r="M44" s="68"/>
      <c r="N44" s="68"/>
      <c r="O44" s="68"/>
      <c r="P44" s="68"/>
      <c r="Q44" s="68"/>
    </row>
    <row r="45" spans="1:17" ht="21" x14ac:dyDescent="0.35">
      <c r="A45" s="66"/>
      <c r="B45" s="66"/>
      <c r="C45" s="67"/>
      <c r="D45" s="67"/>
      <c r="E45" s="67"/>
      <c r="F45" s="67"/>
      <c r="G45" s="67"/>
      <c r="H45" s="67"/>
      <c r="I45" s="67"/>
      <c r="J45" s="68"/>
      <c r="K45" s="68"/>
      <c r="L45" s="68"/>
      <c r="M45" s="68"/>
      <c r="N45" s="68"/>
      <c r="O45" s="68"/>
      <c r="P45" s="68"/>
      <c r="Q45" s="68"/>
    </row>
    <row r="46" spans="1:17" ht="21" x14ac:dyDescent="0.35">
      <c r="A46" s="66"/>
      <c r="B46" s="66"/>
      <c r="C46" s="67"/>
      <c r="D46" s="67"/>
      <c r="E46" s="67"/>
      <c r="F46" s="67"/>
      <c r="G46" s="67"/>
      <c r="H46" s="67"/>
      <c r="I46" s="67"/>
      <c r="J46" s="68"/>
      <c r="K46" s="68"/>
      <c r="L46" s="68"/>
      <c r="M46" s="68"/>
      <c r="N46" s="68"/>
      <c r="O46" s="68"/>
      <c r="P46" s="68"/>
      <c r="Q46" s="68"/>
    </row>
    <row r="47" spans="1:17" ht="21" x14ac:dyDescent="0.35">
      <c r="A47" s="66"/>
      <c r="B47" s="66"/>
      <c r="C47" s="67"/>
      <c r="D47" s="67"/>
      <c r="E47" s="67"/>
      <c r="F47" s="67"/>
      <c r="G47" s="67"/>
      <c r="H47" s="67"/>
      <c r="I47" s="67"/>
      <c r="J47" s="68"/>
      <c r="K47" s="68"/>
      <c r="L47" s="68"/>
      <c r="M47" s="68"/>
      <c r="N47" s="68"/>
      <c r="O47" s="68"/>
      <c r="P47" s="68"/>
      <c r="Q47" s="68"/>
    </row>
    <row r="48" spans="1:17" ht="21" x14ac:dyDescent="0.35">
      <c r="A48" s="66"/>
      <c r="B48" s="66"/>
      <c r="C48" s="67"/>
      <c r="D48" s="67"/>
      <c r="E48" s="67"/>
      <c r="F48" s="67"/>
      <c r="G48" s="67"/>
      <c r="H48" s="67"/>
      <c r="I48" s="67"/>
      <c r="J48" s="68"/>
      <c r="K48" s="68"/>
      <c r="L48" s="68"/>
      <c r="M48" s="68"/>
      <c r="N48" s="68"/>
      <c r="O48" s="68"/>
      <c r="P48" s="68"/>
      <c r="Q48" s="68"/>
    </row>
    <row r="49" spans="1:17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</row>
  </sheetData>
  <sheetProtection algorithmName="SHA-512" hashValue="No5fJZv5ZF1RXT9S+xOIqhw2AUxhkewiWCOyZNA+nIqSfNjPaUHxGeUJsH8mo5kQWLGbqBF+dHDUf/tRgpmh+w==" saltValue="HL92fsfmLm1FjPvCkcAHQg==" spinCount="100000" sheet="1" objects="1" scenarios="1" selectLockedCells="1" selectUnlockedCells="1"/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12EC-4C36-4011-AE47-EF0E31549231}">
  <dimension ref="A1:AD138"/>
  <sheetViews>
    <sheetView topLeftCell="A142" zoomScaleNormal="100" workbookViewId="0">
      <selection activeCell="L135" sqref="L135"/>
    </sheetView>
  </sheetViews>
  <sheetFormatPr defaultRowHeight="15" x14ac:dyDescent="0.25"/>
  <cols>
    <col min="1" max="1" width="8.7109375" customWidth="1"/>
    <col min="21" max="21" width="9.140625" customWidth="1"/>
    <col min="30" max="30" width="9.140625" customWidth="1"/>
  </cols>
  <sheetData>
    <row r="1" spans="1:27" ht="15.75" thickBot="1" x14ac:dyDescent="0.3"/>
    <row r="2" spans="1:27" ht="15.75" thickBot="1" x14ac:dyDescent="0.3">
      <c r="A2" t="s">
        <v>203</v>
      </c>
      <c r="F2" s="240" t="s">
        <v>81</v>
      </c>
      <c r="G2" s="241"/>
      <c r="H2" s="242"/>
      <c r="T2" s="240" t="s">
        <v>82</v>
      </c>
      <c r="U2" s="241"/>
      <c r="V2" s="242"/>
      <c r="W2" s="95"/>
      <c r="X2" s="95"/>
      <c r="Y2" s="75"/>
      <c r="Z2" s="75"/>
      <c r="AA2" s="75"/>
    </row>
    <row r="19" spans="2:27" ht="15.75" thickBot="1" x14ac:dyDescent="0.3"/>
    <row r="20" spans="2:27" x14ac:dyDescent="0.25">
      <c r="B20" s="15" t="s">
        <v>204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7"/>
      <c r="P20" s="15" t="s">
        <v>204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</row>
    <row r="21" spans="2:27" ht="15" customHeight="1" x14ac:dyDescent="0.25">
      <c r="B21" s="18" t="s">
        <v>204</v>
      </c>
      <c r="C21" s="93" t="s">
        <v>107</v>
      </c>
      <c r="D21" s="94"/>
      <c r="E21" s="93" t="s">
        <v>113</v>
      </c>
      <c r="F21" s="94"/>
      <c r="G21" s="93" t="s">
        <v>119</v>
      </c>
      <c r="H21" s="94"/>
      <c r="I21" s="93" t="s">
        <v>125</v>
      </c>
      <c r="J21" s="94"/>
      <c r="K21" s="243" t="s">
        <v>131</v>
      </c>
      <c r="L21" s="246" t="s">
        <v>133</v>
      </c>
      <c r="M21" s="20"/>
      <c r="P21" s="18" t="s">
        <v>204</v>
      </c>
      <c r="Q21" s="97"/>
      <c r="R21" s="96"/>
      <c r="S21" s="97"/>
      <c r="T21" s="96"/>
      <c r="U21" s="97"/>
      <c r="V21" s="96"/>
      <c r="W21" s="97"/>
      <c r="X21" s="96"/>
      <c r="Y21" s="243" t="s">
        <v>131</v>
      </c>
      <c r="Z21" s="246" t="s">
        <v>133</v>
      </c>
      <c r="AA21" s="20"/>
    </row>
    <row r="22" spans="2:27" x14ac:dyDescent="0.25">
      <c r="B22" s="18" t="s">
        <v>204</v>
      </c>
      <c r="C22" s="93" t="s">
        <v>108</v>
      </c>
      <c r="D22" s="94"/>
      <c r="E22" s="93" t="s">
        <v>114</v>
      </c>
      <c r="F22" s="94"/>
      <c r="G22" s="93" t="s">
        <v>120</v>
      </c>
      <c r="H22" s="94"/>
      <c r="I22" s="93" t="s">
        <v>126</v>
      </c>
      <c r="J22" s="94"/>
      <c r="K22" s="244"/>
      <c r="L22" s="247"/>
      <c r="M22" s="20"/>
      <c r="P22" s="18" t="s">
        <v>204</v>
      </c>
      <c r="Q22" s="101" t="s">
        <v>135</v>
      </c>
      <c r="R22" s="98"/>
      <c r="S22" s="101" t="s">
        <v>137</v>
      </c>
      <c r="T22" s="98"/>
      <c r="U22" s="101" t="s">
        <v>139</v>
      </c>
      <c r="V22" s="98"/>
      <c r="W22" s="101" t="s">
        <v>141</v>
      </c>
      <c r="X22" s="98"/>
      <c r="Y22" s="244"/>
      <c r="Z22" s="247"/>
      <c r="AA22" s="20"/>
    </row>
    <row r="23" spans="2:27" x14ac:dyDescent="0.25">
      <c r="B23" s="18" t="s">
        <v>204</v>
      </c>
      <c r="C23" s="93" t="s">
        <v>109</v>
      </c>
      <c r="D23" s="94"/>
      <c r="E23" s="93" t="s">
        <v>115</v>
      </c>
      <c r="F23" s="94"/>
      <c r="G23" s="93" t="s">
        <v>121</v>
      </c>
      <c r="H23" s="94"/>
      <c r="I23" s="93" t="s">
        <v>127</v>
      </c>
      <c r="J23" s="94"/>
      <c r="K23" s="245"/>
      <c r="L23" s="248"/>
      <c r="M23" s="20"/>
      <c r="P23" s="18" t="s">
        <v>204</v>
      </c>
      <c r="Q23" s="100"/>
      <c r="R23" s="99"/>
      <c r="S23" s="100"/>
      <c r="T23" s="99"/>
      <c r="U23" s="100"/>
      <c r="V23" s="99"/>
      <c r="W23" s="100"/>
      <c r="X23" s="99"/>
      <c r="Y23" s="245"/>
      <c r="Z23" s="248"/>
      <c r="AA23" s="20"/>
    </row>
    <row r="24" spans="2:27" ht="15" customHeight="1" x14ac:dyDescent="0.25">
      <c r="B24" s="21"/>
      <c r="C24" s="93" t="s">
        <v>110</v>
      </c>
      <c r="D24" s="94"/>
      <c r="E24" s="93" t="s">
        <v>116</v>
      </c>
      <c r="F24" s="94"/>
      <c r="G24" s="93" t="s">
        <v>122</v>
      </c>
      <c r="H24" s="94"/>
      <c r="I24" s="93" t="s">
        <v>128</v>
      </c>
      <c r="J24" s="94"/>
      <c r="K24" s="249" t="s">
        <v>132</v>
      </c>
      <c r="L24" s="250" t="s">
        <v>134</v>
      </c>
      <c r="M24" s="20"/>
      <c r="P24" s="21"/>
      <c r="Q24" s="97"/>
      <c r="R24" s="96"/>
      <c r="S24" s="97"/>
      <c r="T24" s="96"/>
      <c r="U24" s="97"/>
      <c r="V24" s="96"/>
      <c r="W24" s="97"/>
      <c r="X24" s="96"/>
      <c r="Y24" s="249" t="s">
        <v>132</v>
      </c>
      <c r="Z24" s="250" t="s">
        <v>134</v>
      </c>
      <c r="AA24" s="20"/>
    </row>
    <row r="25" spans="2:27" x14ac:dyDescent="0.25">
      <c r="B25" s="21"/>
      <c r="C25" s="93" t="s">
        <v>111</v>
      </c>
      <c r="D25" s="94"/>
      <c r="E25" s="93" t="s">
        <v>117</v>
      </c>
      <c r="F25" s="94"/>
      <c r="G25" s="93" t="s">
        <v>123</v>
      </c>
      <c r="H25" s="94"/>
      <c r="I25" s="93" t="s">
        <v>129</v>
      </c>
      <c r="J25" s="94"/>
      <c r="K25" s="244"/>
      <c r="L25" s="244"/>
      <c r="M25" s="20"/>
      <c r="P25" s="21"/>
      <c r="Q25" s="101" t="s">
        <v>136</v>
      </c>
      <c r="R25" s="98"/>
      <c r="S25" s="101" t="s">
        <v>138</v>
      </c>
      <c r="T25" s="98"/>
      <c r="U25" s="101" t="s">
        <v>140</v>
      </c>
      <c r="V25" s="98"/>
      <c r="W25" s="101" t="s">
        <v>142</v>
      </c>
      <c r="X25" s="98"/>
      <c r="Y25" s="244"/>
      <c r="Z25" s="244"/>
      <c r="AA25" s="20"/>
    </row>
    <row r="26" spans="2:27" x14ac:dyDescent="0.25">
      <c r="B26" s="21"/>
      <c r="C26" s="93" t="s">
        <v>112</v>
      </c>
      <c r="D26" s="94"/>
      <c r="E26" s="93" t="s">
        <v>118</v>
      </c>
      <c r="F26" s="94"/>
      <c r="G26" s="93" t="s">
        <v>124</v>
      </c>
      <c r="H26" s="94"/>
      <c r="I26" s="93" t="s">
        <v>130</v>
      </c>
      <c r="J26" s="94"/>
      <c r="K26" s="245"/>
      <c r="L26" s="245"/>
      <c r="M26" s="20"/>
      <c r="P26" s="21"/>
      <c r="Q26" s="100"/>
      <c r="R26" s="99"/>
      <c r="S26" s="100"/>
      <c r="T26" s="99"/>
      <c r="U26" s="100"/>
      <c r="V26" s="99"/>
      <c r="W26" s="100"/>
      <c r="X26" s="99"/>
      <c r="Y26" s="245"/>
      <c r="Z26" s="245"/>
      <c r="AA26" s="20"/>
    </row>
    <row r="27" spans="2:27" ht="15.75" thickBot="1" x14ac:dyDescent="0.3"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P27" s="22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4"/>
    </row>
    <row r="29" spans="2:27" x14ac:dyDescent="0.25">
      <c r="B29" s="227" t="s">
        <v>143</v>
      </c>
      <c r="C29" s="228"/>
      <c r="E29" s="92" t="s">
        <v>84</v>
      </c>
      <c r="G29" s="238" t="s">
        <v>144</v>
      </c>
      <c r="H29" s="239"/>
      <c r="K29" s="163"/>
      <c r="L29" s="163"/>
      <c r="P29" s="227" t="s">
        <v>83</v>
      </c>
      <c r="Q29" s="228"/>
      <c r="S29" s="92" t="s">
        <v>84</v>
      </c>
      <c r="U29" s="238" t="s">
        <v>144</v>
      </c>
      <c r="V29" s="239"/>
    </row>
    <row r="32" spans="2:27" ht="15.75" thickBot="1" x14ac:dyDescent="0.3"/>
    <row r="33" spans="1:21" x14ac:dyDescent="0.25">
      <c r="E33" s="139">
        <v>0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230" t="s">
        <v>145</v>
      </c>
      <c r="R33" s="230"/>
      <c r="S33" s="230"/>
      <c r="T33" s="230"/>
      <c r="U33" s="160"/>
    </row>
    <row r="34" spans="1:21" x14ac:dyDescent="0.25">
      <c r="E34" s="141">
        <v>0</v>
      </c>
      <c r="F34" s="140">
        <v>0</v>
      </c>
      <c r="G34" s="140">
        <v>0</v>
      </c>
      <c r="H34" s="140">
        <v>0</v>
      </c>
      <c r="I34" s="140">
        <v>0</v>
      </c>
      <c r="J34" s="140">
        <v>0</v>
      </c>
      <c r="K34" s="140">
        <v>0</v>
      </c>
      <c r="L34" s="140">
        <v>0</v>
      </c>
      <c r="M34" s="140">
        <v>0</v>
      </c>
      <c r="N34" s="140">
        <v>0</v>
      </c>
      <c r="O34" s="140">
        <v>0</v>
      </c>
      <c r="P34" s="140">
        <v>0</v>
      </c>
      <c r="Q34" s="161" t="s">
        <v>146</v>
      </c>
      <c r="R34" s="161"/>
      <c r="S34" s="161"/>
      <c r="T34" s="162"/>
      <c r="U34" s="160"/>
    </row>
    <row r="35" spans="1:21" ht="15" customHeight="1" x14ac:dyDescent="0.25">
      <c r="E35" s="141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0</v>
      </c>
      <c r="K35" s="140">
        <v>0</v>
      </c>
      <c r="L35" s="140">
        <v>0</v>
      </c>
      <c r="M35" s="140">
        <v>0</v>
      </c>
      <c r="N35" s="140">
        <v>0</v>
      </c>
      <c r="O35" s="140">
        <v>0</v>
      </c>
      <c r="P35" s="140">
        <v>0</v>
      </c>
      <c r="Q35" s="229" t="s">
        <v>147</v>
      </c>
      <c r="R35" s="229"/>
      <c r="S35" s="229"/>
      <c r="T35" s="162"/>
      <c r="U35" s="160"/>
    </row>
    <row r="36" spans="1:21" ht="15.75" thickBot="1" x14ac:dyDescent="0.3">
      <c r="E36" s="142">
        <v>0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40">
        <v>0</v>
      </c>
      <c r="Q36" s="230" t="s">
        <v>150</v>
      </c>
      <c r="R36" s="230"/>
      <c r="S36" s="230"/>
      <c r="T36" s="230"/>
      <c r="U36" s="160"/>
    </row>
    <row r="37" spans="1:21" x14ac:dyDescent="0.25">
      <c r="A37" s="237" t="s">
        <v>11</v>
      </c>
      <c r="B37" s="237"/>
      <c r="C37" s="237"/>
      <c r="D37" s="88"/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40">
        <v>0</v>
      </c>
      <c r="Q37" s="230" t="s">
        <v>151</v>
      </c>
      <c r="R37" s="230"/>
      <c r="S37" s="230"/>
      <c r="T37" s="230"/>
      <c r="U37" s="160"/>
    </row>
    <row r="38" spans="1:21" x14ac:dyDescent="0.25">
      <c r="E38" s="140">
        <v>0</v>
      </c>
      <c r="F38" s="140">
        <v>0</v>
      </c>
      <c r="G38" s="140">
        <v>0</v>
      </c>
      <c r="H38" s="140">
        <v>0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40">
        <v>0</v>
      </c>
      <c r="Q38" s="230" t="s">
        <v>148</v>
      </c>
      <c r="R38" s="230"/>
      <c r="S38" s="230"/>
      <c r="T38" s="230"/>
      <c r="U38" s="160"/>
    </row>
    <row r="39" spans="1:21" x14ac:dyDescent="0.25">
      <c r="C39" s="75"/>
      <c r="E39" s="140">
        <v>0</v>
      </c>
      <c r="F39" s="140">
        <v>0</v>
      </c>
      <c r="G39" s="140">
        <v>0</v>
      </c>
      <c r="H39" s="140">
        <v>0</v>
      </c>
      <c r="I39" s="140">
        <v>0</v>
      </c>
      <c r="J39" s="140">
        <v>0</v>
      </c>
      <c r="K39" s="140">
        <v>0</v>
      </c>
      <c r="L39" s="140">
        <v>0</v>
      </c>
      <c r="M39" s="140">
        <v>0</v>
      </c>
      <c r="N39" s="140">
        <v>0</v>
      </c>
      <c r="O39" s="140">
        <v>0</v>
      </c>
      <c r="P39" s="140">
        <v>0</v>
      </c>
      <c r="Q39" s="229" t="s">
        <v>149</v>
      </c>
      <c r="R39" s="230"/>
      <c r="S39" s="230"/>
      <c r="T39" s="230"/>
      <c r="U39" s="160"/>
    </row>
    <row r="40" spans="1:21" x14ac:dyDescent="0.25">
      <c r="E40" s="140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230"/>
      <c r="R40" s="230"/>
      <c r="S40" s="230"/>
      <c r="T40" s="230"/>
      <c r="U40" s="160"/>
    </row>
    <row r="42" spans="1:21" ht="15.75" thickBot="1" x14ac:dyDescent="0.3"/>
    <row r="43" spans="1:21" ht="15.75" thickBot="1" x14ac:dyDescent="0.3">
      <c r="A43" s="89"/>
      <c r="B43" s="89"/>
      <c r="C43" s="89"/>
      <c r="D43" s="89"/>
      <c r="E43" s="15" t="s">
        <v>204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</row>
    <row r="44" spans="1:21" x14ac:dyDescent="0.25">
      <c r="E44" s="18" t="s">
        <v>204</v>
      </c>
      <c r="F44" s="131">
        <f t="shared" ref="F44:O44" si="0">F35-$B$40</f>
        <v>0</v>
      </c>
      <c r="G44" s="131">
        <f t="shared" si="0"/>
        <v>0</v>
      </c>
      <c r="H44" s="131">
        <f t="shared" si="0"/>
        <v>0</v>
      </c>
      <c r="I44" s="131">
        <f t="shared" si="0"/>
        <v>0</v>
      </c>
      <c r="J44" s="131">
        <f t="shared" si="0"/>
        <v>0</v>
      </c>
      <c r="K44" s="131">
        <f t="shared" si="0"/>
        <v>0</v>
      </c>
      <c r="L44" s="131">
        <f t="shared" si="0"/>
        <v>0</v>
      </c>
      <c r="M44" s="131">
        <f t="shared" si="0"/>
        <v>0</v>
      </c>
      <c r="N44" s="143">
        <f t="shared" si="0"/>
        <v>0</v>
      </c>
      <c r="O44" s="129">
        <f t="shared" si="0"/>
        <v>0</v>
      </c>
      <c r="P44" s="20"/>
    </row>
    <row r="45" spans="1:21" x14ac:dyDescent="0.25">
      <c r="E45" s="18" t="s">
        <v>204</v>
      </c>
      <c r="F45" s="131">
        <f t="shared" ref="F45:O45" si="1">F36-$B$40</f>
        <v>0</v>
      </c>
      <c r="G45" s="131">
        <f t="shared" si="1"/>
        <v>0</v>
      </c>
      <c r="H45" s="131">
        <f t="shared" si="1"/>
        <v>0</v>
      </c>
      <c r="I45" s="131">
        <f t="shared" si="1"/>
        <v>0</v>
      </c>
      <c r="J45" s="131">
        <f t="shared" si="1"/>
        <v>0</v>
      </c>
      <c r="K45" s="131">
        <f t="shared" si="1"/>
        <v>0</v>
      </c>
      <c r="L45" s="131">
        <f t="shared" si="1"/>
        <v>0</v>
      </c>
      <c r="M45" s="131">
        <f t="shared" si="1"/>
        <v>0</v>
      </c>
      <c r="N45" s="144">
        <f t="shared" si="1"/>
        <v>0</v>
      </c>
      <c r="O45" s="129">
        <f t="shared" si="1"/>
        <v>0</v>
      </c>
      <c r="P45" s="20"/>
    </row>
    <row r="46" spans="1:21" ht="15.75" thickBot="1" x14ac:dyDescent="0.3">
      <c r="E46" s="18" t="s">
        <v>204</v>
      </c>
      <c r="F46" s="131">
        <f t="shared" ref="F46:O46" si="2">F37-$B$40</f>
        <v>0</v>
      </c>
      <c r="G46" s="131">
        <f t="shared" si="2"/>
        <v>0</v>
      </c>
      <c r="H46" s="131">
        <f t="shared" si="2"/>
        <v>0</v>
      </c>
      <c r="I46" s="131">
        <f t="shared" si="2"/>
        <v>0</v>
      </c>
      <c r="J46" s="131">
        <f t="shared" si="2"/>
        <v>0</v>
      </c>
      <c r="K46" s="131">
        <f t="shared" si="2"/>
        <v>0</v>
      </c>
      <c r="L46" s="131">
        <f t="shared" si="2"/>
        <v>0</v>
      </c>
      <c r="M46" s="131">
        <f t="shared" si="2"/>
        <v>0</v>
      </c>
      <c r="N46" s="145">
        <f t="shared" si="2"/>
        <v>0</v>
      </c>
      <c r="O46" s="129">
        <f t="shared" si="2"/>
        <v>0</v>
      </c>
      <c r="P46" s="20"/>
    </row>
    <row r="47" spans="1:21" x14ac:dyDescent="0.25">
      <c r="A47" s="237" t="s">
        <v>152</v>
      </c>
      <c r="B47" s="237"/>
      <c r="C47" s="237"/>
      <c r="E47" s="21"/>
      <c r="F47" s="131">
        <f t="shared" ref="F47:O47" si="3">F38-$B$40</f>
        <v>0</v>
      </c>
      <c r="G47" s="131">
        <f t="shared" si="3"/>
        <v>0</v>
      </c>
      <c r="H47" s="131">
        <f t="shared" si="3"/>
        <v>0</v>
      </c>
      <c r="I47" s="131">
        <f t="shared" si="3"/>
        <v>0</v>
      </c>
      <c r="J47" s="131">
        <f t="shared" si="3"/>
        <v>0</v>
      </c>
      <c r="K47" s="131">
        <f t="shared" si="3"/>
        <v>0</v>
      </c>
      <c r="L47" s="131">
        <f t="shared" si="3"/>
        <v>0</v>
      </c>
      <c r="M47" s="131">
        <f t="shared" si="3"/>
        <v>0</v>
      </c>
      <c r="N47" s="132">
        <f t="shared" si="3"/>
        <v>0</v>
      </c>
      <c r="O47" s="131">
        <f t="shared" si="3"/>
        <v>0</v>
      </c>
      <c r="P47" s="20"/>
    </row>
    <row r="48" spans="1:21" x14ac:dyDescent="0.25">
      <c r="E48" s="21"/>
      <c r="F48" s="131">
        <f t="shared" ref="F48:O48" si="4">F39-$B$40</f>
        <v>0</v>
      </c>
      <c r="G48" s="131">
        <f t="shared" si="4"/>
        <v>0</v>
      </c>
      <c r="H48" s="131">
        <f t="shared" si="4"/>
        <v>0</v>
      </c>
      <c r="I48" s="131">
        <f t="shared" si="4"/>
        <v>0</v>
      </c>
      <c r="J48" s="131">
        <f t="shared" si="4"/>
        <v>0</v>
      </c>
      <c r="K48" s="131">
        <f t="shared" si="4"/>
        <v>0</v>
      </c>
      <c r="L48" s="131">
        <f t="shared" si="4"/>
        <v>0</v>
      </c>
      <c r="M48" s="131">
        <f t="shared" si="4"/>
        <v>0</v>
      </c>
      <c r="N48" s="132">
        <f t="shared" si="4"/>
        <v>0</v>
      </c>
      <c r="O48" s="131">
        <f t="shared" si="4"/>
        <v>0</v>
      </c>
      <c r="P48" s="20"/>
    </row>
    <row r="49" spans="5:24" x14ac:dyDescent="0.25">
      <c r="E49" s="21"/>
      <c r="F49" s="131">
        <f t="shared" ref="F49:O49" si="5">F40-$B$40</f>
        <v>0</v>
      </c>
      <c r="G49" s="131">
        <f t="shared" si="5"/>
        <v>0</v>
      </c>
      <c r="H49" s="131">
        <f t="shared" si="5"/>
        <v>0</v>
      </c>
      <c r="I49" s="131">
        <f t="shared" si="5"/>
        <v>0</v>
      </c>
      <c r="J49" s="131">
        <f t="shared" si="5"/>
        <v>0</v>
      </c>
      <c r="K49" s="131">
        <f t="shared" si="5"/>
        <v>0</v>
      </c>
      <c r="L49" s="131">
        <f t="shared" si="5"/>
        <v>0</v>
      </c>
      <c r="M49" s="131">
        <f t="shared" si="5"/>
        <v>0</v>
      </c>
      <c r="N49" s="132">
        <f t="shared" si="5"/>
        <v>0</v>
      </c>
      <c r="O49" s="131">
        <f t="shared" si="5"/>
        <v>0</v>
      </c>
      <c r="P49" s="20"/>
      <c r="X49" s="90"/>
    </row>
    <row r="50" spans="5:24" ht="15.75" thickBot="1" x14ac:dyDescent="0.3">
      <c r="E50" s="22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</row>
    <row r="57" spans="5:24" ht="15.75" thickBot="1" x14ac:dyDescent="0.3"/>
    <row r="58" spans="5:24" ht="15.75" thickBot="1" x14ac:dyDescent="0.3">
      <c r="G58" s="231" t="s">
        <v>153</v>
      </c>
      <c r="H58" s="232"/>
      <c r="I58" s="232"/>
      <c r="J58" s="232"/>
      <c r="K58" s="232"/>
      <c r="L58" s="232"/>
      <c r="M58" s="233"/>
    </row>
    <row r="59" spans="5:24" ht="15.75" thickBot="1" x14ac:dyDescent="0.3"/>
    <row r="60" spans="5:24" ht="15.75" thickBot="1" x14ac:dyDescent="0.3">
      <c r="E60" s="15" t="s">
        <v>204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7"/>
    </row>
    <row r="61" spans="5:24" x14ac:dyDescent="0.25">
      <c r="E61" s="18" t="s">
        <v>204</v>
      </c>
      <c r="F61" s="131">
        <f t="shared" ref="F61:O61" si="6">F43-$B$40</f>
        <v>0</v>
      </c>
      <c r="G61" s="131">
        <f t="shared" si="6"/>
        <v>0</v>
      </c>
      <c r="H61" s="131">
        <f t="shared" si="6"/>
        <v>0</v>
      </c>
      <c r="I61" s="131">
        <f t="shared" si="6"/>
        <v>0</v>
      </c>
      <c r="J61" s="131">
        <f t="shared" si="6"/>
        <v>0</v>
      </c>
      <c r="K61" s="131">
        <f t="shared" si="6"/>
        <v>0</v>
      </c>
      <c r="L61" s="131">
        <f t="shared" si="6"/>
        <v>0</v>
      </c>
      <c r="M61" s="131">
        <f t="shared" si="6"/>
        <v>0</v>
      </c>
      <c r="N61" s="146">
        <f t="shared" si="6"/>
        <v>0</v>
      </c>
      <c r="O61" s="129">
        <f t="shared" si="6"/>
        <v>0</v>
      </c>
      <c r="P61" s="20"/>
    </row>
    <row r="62" spans="5:24" x14ac:dyDescent="0.25">
      <c r="E62" s="18" t="s">
        <v>204</v>
      </c>
      <c r="F62" s="131">
        <f t="shared" ref="F62:O62" si="7">F44-$B$40</f>
        <v>0</v>
      </c>
      <c r="G62" s="131">
        <f t="shared" si="7"/>
        <v>0</v>
      </c>
      <c r="H62" s="131">
        <f t="shared" si="7"/>
        <v>0</v>
      </c>
      <c r="I62" s="131">
        <f t="shared" si="7"/>
        <v>0</v>
      </c>
      <c r="J62" s="131">
        <f t="shared" si="7"/>
        <v>0</v>
      </c>
      <c r="K62" s="131">
        <f t="shared" si="7"/>
        <v>0</v>
      </c>
      <c r="L62" s="131">
        <f t="shared" si="7"/>
        <v>0</v>
      </c>
      <c r="M62" s="131">
        <f t="shared" si="7"/>
        <v>0</v>
      </c>
      <c r="N62" s="147">
        <f t="shared" si="7"/>
        <v>0</v>
      </c>
      <c r="O62" s="129">
        <f t="shared" si="7"/>
        <v>0</v>
      </c>
      <c r="P62" s="20"/>
    </row>
    <row r="63" spans="5:24" ht="15.75" thickBot="1" x14ac:dyDescent="0.3">
      <c r="E63" s="18" t="s">
        <v>204</v>
      </c>
      <c r="F63" s="131">
        <f t="shared" ref="F63:O63" si="8">F45-$B$40</f>
        <v>0</v>
      </c>
      <c r="G63" s="131">
        <f t="shared" si="8"/>
        <v>0</v>
      </c>
      <c r="H63" s="131">
        <f t="shared" si="8"/>
        <v>0</v>
      </c>
      <c r="I63" s="131">
        <f t="shared" si="8"/>
        <v>0</v>
      </c>
      <c r="J63" s="131">
        <f t="shared" si="8"/>
        <v>0</v>
      </c>
      <c r="K63" s="131">
        <f t="shared" si="8"/>
        <v>0</v>
      </c>
      <c r="L63" s="131">
        <f t="shared" si="8"/>
        <v>0</v>
      </c>
      <c r="M63" s="131">
        <f t="shared" si="8"/>
        <v>0</v>
      </c>
      <c r="N63" s="147">
        <f t="shared" si="8"/>
        <v>0</v>
      </c>
      <c r="O63" s="129">
        <f t="shared" si="8"/>
        <v>0</v>
      </c>
      <c r="P63" s="20"/>
    </row>
    <row r="64" spans="5:24" x14ac:dyDescent="0.25">
      <c r="E64" s="21"/>
      <c r="F64" s="131">
        <f t="shared" ref="F64:O64" si="9">F46-$B$40</f>
        <v>0</v>
      </c>
      <c r="G64" s="131">
        <f t="shared" si="9"/>
        <v>0</v>
      </c>
      <c r="H64" s="131">
        <f t="shared" si="9"/>
        <v>0</v>
      </c>
      <c r="I64" s="131">
        <f t="shared" si="9"/>
        <v>0</v>
      </c>
      <c r="J64" s="131">
        <f t="shared" si="9"/>
        <v>0</v>
      </c>
      <c r="K64" s="131">
        <f t="shared" si="9"/>
        <v>0</v>
      </c>
      <c r="L64" s="131">
        <f t="shared" si="9"/>
        <v>0</v>
      </c>
      <c r="M64" s="131">
        <f t="shared" si="9"/>
        <v>0</v>
      </c>
      <c r="N64" s="148">
        <f t="shared" si="9"/>
        <v>0</v>
      </c>
      <c r="O64" s="131">
        <f t="shared" si="9"/>
        <v>0</v>
      </c>
      <c r="P64" s="20"/>
    </row>
    <row r="65" spans="5:16" x14ac:dyDescent="0.25">
      <c r="E65" s="21"/>
      <c r="F65" s="131">
        <f t="shared" ref="F65:O65" si="10">F47-$B$40</f>
        <v>0</v>
      </c>
      <c r="G65" s="131">
        <f t="shared" si="10"/>
        <v>0</v>
      </c>
      <c r="H65" s="131">
        <f t="shared" si="10"/>
        <v>0</v>
      </c>
      <c r="I65" s="131">
        <f t="shared" si="10"/>
        <v>0</v>
      </c>
      <c r="J65" s="131">
        <f t="shared" si="10"/>
        <v>0</v>
      </c>
      <c r="K65" s="131">
        <f t="shared" si="10"/>
        <v>0</v>
      </c>
      <c r="L65" s="131">
        <f t="shared" si="10"/>
        <v>0</v>
      </c>
      <c r="M65" s="131">
        <f t="shared" si="10"/>
        <v>0</v>
      </c>
      <c r="N65" s="149">
        <f t="shared" si="10"/>
        <v>0</v>
      </c>
      <c r="O65" s="131">
        <f t="shared" si="10"/>
        <v>0</v>
      </c>
      <c r="P65" s="20"/>
    </row>
    <row r="66" spans="5:16" ht="15.75" thickBot="1" x14ac:dyDescent="0.3">
      <c r="E66" s="21"/>
      <c r="F66" s="131">
        <f t="shared" ref="F66:O66" si="11">F48-$B$40</f>
        <v>0</v>
      </c>
      <c r="G66" s="131">
        <f t="shared" si="11"/>
        <v>0</v>
      </c>
      <c r="H66" s="131">
        <f t="shared" si="11"/>
        <v>0</v>
      </c>
      <c r="I66" s="131">
        <f t="shared" si="11"/>
        <v>0</v>
      </c>
      <c r="J66" s="131">
        <f t="shared" si="11"/>
        <v>0</v>
      </c>
      <c r="K66" s="131">
        <f t="shared" si="11"/>
        <v>0</v>
      </c>
      <c r="L66" s="131">
        <f t="shared" si="11"/>
        <v>0</v>
      </c>
      <c r="M66" s="131">
        <f t="shared" si="11"/>
        <v>0</v>
      </c>
      <c r="N66" s="150">
        <f t="shared" si="11"/>
        <v>0</v>
      </c>
      <c r="O66" s="131">
        <f t="shared" si="11"/>
        <v>0</v>
      </c>
      <c r="P66" s="20"/>
    </row>
    <row r="67" spans="5:16" ht="15.75" thickBot="1" x14ac:dyDescent="0.3">
      <c r="E67" s="22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4"/>
    </row>
    <row r="82" spans="5:25" ht="15.75" thickBot="1" x14ac:dyDescent="0.3"/>
    <row r="83" spans="5:25" ht="15.75" thickBot="1" x14ac:dyDescent="0.3">
      <c r="G83" s="231" t="s">
        <v>153</v>
      </c>
      <c r="H83" s="232"/>
      <c r="I83" s="232"/>
      <c r="J83" s="232"/>
      <c r="K83" s="232"/>
      <c r="L83" s="232"/>
      <c r="M83" s="233"/>
    </row>
    <row r="84" spans="5:25" ht="15.75" thickBot="1" x14ac:dyDescent="0.3"/>
    <row r="85" spans="5:25" ht="15.75" thickBot="1" x14ac:dyDescent="0.3">
      <c r="E85" s="15" t="s">
        <v>204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7"/>
      <c r="Y85" s="215"/>
    </row>
    <row r="86" spans="5:25" x14ac:dyDescent="0.25">
      <c r="E86" s="18" t="s">
        <v>204</v>
      </c>
      <c r="F86" s="131">
        <f t="shared" ref="F86:O86" si="12">F68-$B$40</f>
        <v>0</v>
      </c>
      <c r="G86" s="131">
        <f t="shared" si="12"/>
        <v>0</v>
      </c>
      <c r="H86" s="131">
        <f t="shared" si="12"/>
        <v>0</v>
      </c>
      <c r="I86" s="131">
        <f t="shared" si="12"/>
        <v>0</v>
      </c>
      <c r="J86" s="131">
        <f t="shared" si="12"/>
        <v>0</v>
      </c>
      <c r="K86" s="131">
        <f t="shared" si="12"/>
        <v>0</v>
      </c>
      <c r="L86" s="131">
        <f t="shared" si="12"/>
        <v>0</v>
      </c>
      <c r="M86" s="131">
        <f t="shared" si="12"/>
        <v>0</v>
      </c>
      <c r="N86" s="151">
        <f t="shared" si="12"/>
        <v>0</v>
      </c>
      <c r="O86" s="152">
        <f t="shared" si="12"/>
        <v>0</v>
      </c>
      <c r="P86" s="20"/>
    </row>
    <row r="87" spans="5:25" x14ac:dyDescent="0.25">
      <c r="E87" s="18" t="s">
        <v>204</v>
      </c>
      <c r="F87" s="131">
        <f t="shared" ref="F87:O87" si="13">F69-$B$40</f>
        <v>0</v>
      </c>
      <c r="G87" s="131">
        <f t="shared" si="13"/>
        <v>0</v>
      </c>
      <c r="H87" s="131">
        <f t="shared" si="13"/>
        <v>0</v>
      </c>
      <c r="I87" s="131">
        <f t="shared" si="13"/>
        <v>0</v>
      </c>
      <c r="J87" s="131">
        <f t="shared" si="13"/>
        <v>0</v>
      </c>
      <c r="K87" s="131">
        <f t="shared" si="13"/>
        <v>0</v>
      </c>
      <c r="L87" s="131">
        <f t="shared" si="13"/>
        <v>0</v>
      </c>
      <c r="M87" s="131">
        <f t="shared" si="13"/>
        <v>0</v>
      </c>
      <c r="N87" s="153">
        <f t="shared" si="13"/>
        <v>0</v>
      </c>
      <c r="O87" s="154">
        <f t="shared" si="13"/>
        <v>0</v>
      </c>
      <c r="P87" s="20"/>
    </row>
    <row r="88" spans="5:25" ht="15.75" thickBot="1" x14ac:dyDescent="0.3">
      <c r="E88" s="18" t="s">
        <v>204</v>
      </c>
      <c r="F88" s="131">
        <f t="shared" ref="F88:O88" si="14">F70-$B$40</f>
        <v>0</v>
      </c>
      <c r="G88" s="131">
        <f t="shared" si="14"/>
        <v>0</v>
      </c>
      <c r="H88" s="131">
        <f t="shared" si="14"/>
        <v>0</v>
      </c>
      <c r="I88" s="131">
        <f t="shared" si="14"/>
        <v>0</v>
      </c>
      <c r="J88" s="131">
        <f t="shared" si="14"/>
        <v>0</v>
      </c>
      <c r="K88" s="131">
        <f t="shared" si="14"/>
        <v>0</v>
      </c>
      <c r="L88" s="131">
        <f t="shared" si="14"/>
        <v>0</v>
      </c>
      <c r="M88" s="131">
        <f t="shared" si="14"/>
        <v>0</v>
      </c>
      <c r="N88" s="153">
        <f t="shared" si="14"/>
        <v>0</v>
      </c>
      <c r="O88" s="155">
        <f t="shared" si="14"/>
        <v>0</v>
      </c>
      <c r="P88" s="20"/>
    </row>
    <row r="89" spans="5:25" x14ac:dyDescent="0.25">
      <c r="E89" s="21"/>
      <c r="F89" s="131">
        <f t="shared" ref="F89:O89" si="15">F71-$B$40</f>
        <v>0</v>
      </c>
      <c r="G89" s="131">
        <f t="shared" si="15"/>
        <v>0</v>
      </c>
      <c r="H89" s="131">
        <f t="shared" si="15"/>
        <v>0</v>
      </c>
      <c r="I89" s="131">
        <f t="shared" si="15"/>
        <v>0</v>
      </c>
      <c r="J89" s="131">
        <f t="shared" si="15"/>
        <v>0</v>
      </c>
      <c r="K89" s="131">
        <f t="shared" si="15"/>
        <v>0</v>
      </c>
      <c r="L89" s="131">
        <f t="shared" si="15"/>
        <v>0</v>
      </c>
      <c r="M89" s="131">
        <f t="shared" si="15"/>
        <v>0</v>
      </c>
      <c r="N89" s="148">
        <f t="shared" si="15"/>
        <v>0</v>
      </c>
      <c r="O89" s="131">
        <f t="shared" si="15"/>
        <v>0</v>
      </c>
      <c r="P89" s="20"/>
    </row>
    <row r="90" spans="5:25" x14ac:dyDescent="0.25">
      <c r="E90" s="21"/>
      <c r="F90" s="131">
        <f t="shared" ref="F90:O90" si="16">F72-$B$40</f>
        <v>0</v>
      </c>
      <c r="G90" s="131">
        <f t="shared" si="16"/>
        <v>0</v>
      </c>
      <c r="H90" s="131">
        <f t="shared" si="16"/>
        <v>0</v>
      </c>
      <c r="I90" s="131">
        <f t="shared" si="16"/>
        <v>0</v>
      </c>
      <c r="J90" s="131">
        <f t="shared" si="16"/>
        <v>0</v>
      </c>
      <c r="K90" s="131">
        <f t="shared" si="16"/>
        <v>0</v>
      </c>
      <c r="L90" s="131">
        <f t="shared" si="16"/>
        <v>0</v>
      </c>
      <c r="M90" s="131">
        <f t="shared" si="16"/>
        <v>0</v>
      </c>
      <c r="N90" s="149">
        <f t="shared" si="16"/>
        <v>0</v>
      </c>
      <c r="O90" s="131">
        <f t="shared" si="16"/>
        <v>0</v>
      </c>
      <c r="P90" s="20"/>
    </row>
    <row r="91" spans="5:25" ht="15.75" thickBot="1" x14ac:dyDescent="0.3">
      <c r="E91" s="21"/>
      <c r="F91" s="131">
        <f t="shared" ref="F91:O91" si="17">F73-$B$40</f>
        <v>0</v>
      </c>
      <c r="G91" s="131">
        <f t="shared" si="17"/>
        <v>0</v>
      </c>
      <c r="H91" s="131">
        <f t="shared" si="17"/>
        <v>0</v>
      </c>
      <c r="I91" s="131">
        <f t="shared" si="17"/>
        <v>0</v>
      </c>
      <c r="J91" s="131">
        <f t="shared" si="17"/>
        <v>0</v>
      </c>
      <c r="K91" s="131">
        <f t="shared" si="17"/>
        <v>0</v>
      </c>
      <c r="L91" s="131">
        <f t="shared" si="17"/>
        <v>0</v>
      </c>
      <c r="M91" s="131">
        <f t="shared" si="17"/>
        <v>0</v>
      </c>
      <c r="N91" s="150">
        <f t="shared" si="17"/>
        <v>0</v>
      </c>
      <c r="O91" s="131">
        <f t="shared" si="17"/>
        <v>0</v>
      </c>
      <c r="P91" s="20"/>
    </row>
    <row r="92" spans="5:25" ht="15.75" thickBot="1" x14ac:dyDescent="0.3">
      <c r="E92" s="22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4"/>
    </row>
    <row r="101" spans="5:30" ht="15.75" thickBot="1" x14ac:dyDescent="0.3"/>
    <row r="102" spans="5:30" ht="15.75" thickBot="1" x14ac:dyDescent="0.3">
      <c r="F102" s="234" t="s">
        <v>81</v>
      </c>
      <c r="G102" s="235"/>
      <c r="H102" s="235"/>
      <c r="I102" s="235"/>
      <c r="J102" s="235"/>
      <c r="K102" s="235"/>
      <c r="L102" s="235"/>
      <c r="M102" s="236"/>
      <c r="T102" s="234" t="s">
        <v>82</v>
      </c>
      <c r="U102" s="235"/>
      <c r="V102" s="235"/>
      <c r="W102" s="235"/>
      <c r="X102" s="235"/>
      <c r="Y102" s="235"/>
      <c r="Z102" s="235"/>
      <c r="AA102" s="236"/>
    </row>
    <row r="106" spans="5:30" ht="15.75" thickBot="1" x14ac:dyDescent="0.3"/>
    <row r="107" spans="5:30" ht="15.75" thickBot="1" x14ac:dyDescent="0.3">
      <c r="E107" s="15" t="s">
        <v>204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7"/>
      <c r="S107" s="15" t="s">
        <v>204</v>
      </c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7"/>
    </row>
    <row r="108" spans="5:30" ht="15.75" thickBot="1" x14ac:dyDescent="0.3">
      <c r="E108" s="18" t="s">
        <v>204</v>
      </c>
      <c r="F108" s="156">
        <f t="shared" ref="F108:O108" si="18">F87-$B$40</f>
        <v>0</v>
      </c>
      <c r="G108" s="157">
        <f t="shared" si="18"/>
        <v>0</v>
      </c>
      <c r="H108" s="131">
        <f t="shared" si="18"/>
        <v>0</v>
      </c>
      <c r="I108" s="131">
        <f t="shared" si="18"/>
        <v>0</v>
      </c>
      <c r="J108" s="131">
        <f t="shared" si="18"/>
        <v>0</v>
      </c>
      <c r="K108" s="131">
        <f t="shared" si="18"/>
        <v>0</v>
      </c>
      <c r="L108" s="131">
        <f t="shared" si="18"/>
        <v>0</v>
      </c>
      <c r="M108" s="131">
        <f t="shared" si="18"/>
        <v>0</v>
      </c>
      <c r="N108" s="151">
        <f t="shared" si="18"/>
        <v>0</v>
      </c>
      <c r="O108" s="152">
        <f t="shared" si="18"/>
        <v>0</v>
      </c>
      <c r="P108" s="20"/>
      <c r="S108" s="18" t="s">
        <v>204</v>
      </c>
      <c r="T108" s="158">
        <f t="shared" ref="T108:AC108" si="19">W90-$B$40</f>
        <v>0</v>
      </c>
      <c r="U108" s="159">
        <f t="shared" si="19"/>
        <v>0</v>
      </c>
      <c r="V108" s="131">
        <f t="shared" si="19"/>
        <v>0</v>
      </c>
      <c r="W108" s="131">
        <f t="shared" si="19"/>
        <v>0</v>
      </c>
      <c r="X108" s="131">
        <f t="shared" si="19"/>
        <v>0</v>
      </c>
      <c r="Y108" s="131">
        <f t="shared" si="19"/>
        <v>0</v>
      </c>
      <c r="Z108" s="131">
        <f t="shared" si="19"/>
        <v>0</v>
      </c>
      <c r="AA108" s="131">
        <f t="shared" si="19"/>
        <v>0</v>
      </c>
      <c r="AB108" s="151">
        <f t="shared" si="19"/>
        <v>0</v>
      </c>
      <c r="AC108" s="152">
        <f t="shared" si="19"/>
        <v>0</v>
      </c>
      <c r="AD108" s="20"/>
    </row>
    <row r="109" spans="5:30" ht="15.75" thickBot="1" x14ac:dyDescent="0.3">
      <c r="E109" s="18" t="s">
        <v>204</v>
      </c>
      <c r="F109" s="131">
        <f t="shared" ref="F109:O109" si="20">F88-$B$40</f>
        <v>0</v>
      </c>
      <c r="G109" s="131">
        <f t="shared" si="20"/>
        <v>0</v>
      </c>
      <c r="H109" s="131">
        <f t="shared" si="20"/>
        <v>0</v>
      </c>
      <c r="I109" s="131">
        <f t="shared" si="20"/>
        <v>0</v>
      </c>
      <c r="J109" s="131">
        <f t="shared" si="20"/>
        <v>0</v>
      </c>
      <c r="K109" s="131">
        <f t="shared" si="20"/>
        <v>0</v>
      </c>
      <c r="L109" s="131">
        <f t="shared" si="20"/>
        <v>0</v>
      </c>
      <c r="M109" s="131">
        <f t="shared" si="20"/>
        <v>0</v>
      </c>
      <c r="N109" s="153">
        <f t="shared" si="20"/>
        <v>0</v>
      </c>
      <c r="O109" s="154">
        <f t="shared" si="20"/>
        <v>0</v>
      </c>
      <c r="P109" s="20"/>
      <c r="S109" s="18" t="s">
        <v>204</v>
      </c>
      <c r="T109" s="158">
        <f t="shared" ref="T109:T110" si="21">W91-$B$40</f>
        <v>0</v>
      </c>
      <c r="U109" s="159">
        <f t="shared" ref="U109:U110" si="22">X91-$B$40</f>
        <v>0</v>
      </c>
      <c r="V109" s="131">
        <f t="shared" ref="V109:AC113" si="23">Y91-$B$40</f>
        <v>0</v>
      </c>
      <c r="W109" s="131">
        <f t="shared" si="23"/>
        <v>0</v>
      </c>
      <c r="X109" s="131">
        <f t="shared" si="23"/>
        <v>0</v>
      </c>
      <c r="Y109" s="131">
        <f t="shared" si="23"/>
        <v>0</v>
      </c>
      <c r="Z109" s="131">
        <f t="shared" si="23"/>
        <v>0</v>
      </c>
      <c r="AA109" s="131">
        <f t="shared" si="23"/>
        <v>0</v>
      </c>
      <c r="AB109" s="153">
        <f t="shared" si="23"/>
        <v>0</v>
      </c>
      <c r="AC109" s="154">
        <f t="shared" si="23"/>
        <v>0</v>
      </c>
      <c r="AD109" s="20"/>
    </row>
    <row r="110" spans="5:30" ht="15.75" thickBot="1" x14ac:dyDescent="0.3">
      <c r="E110" s="18" t="s">
        <v>204</v>
      </c>
      <c r="F110" s="131">
        <f t="shared" ref="F110:O110" si="24">F89-$B$40</f>
        <v>0</v>
      </c>
      <c r="G110" s="131">
        <f t="shared" si="24"/>
        <v>0</v>
      </c>
      <c r="H110" s="131">
        <f t="shared" si="24"/>
        <v>0</v>
      </c>
      <c r="I110" s="131">
        <f t="shared" si="24"/>
        <v>0</v>
      </c>
      <c r="J110" s="131">
        <f t="shared" si="24"/>
        <v>0</v>
      </c>
      <c r="K110" s="131">
        <f t="shared" si="24"/>
        <v>0</v>
      </c>
      <c r="L110" s="131">
        <f t="shared" si="24"/>
        <v>0</v>
      </c>
      <c r="M110" s="131">
        <f t="shared" si="24"/>
        <v>0</v>
      </c>
      <c r="N110" s="153">
        <f t="shared" si="24"/>
        <v>0</v>
      </c>
      <c r="O110" s="155">
        <f t="shared" si="24"/>
        <v>0</v>
      </c>
      <c r="P110" s="20"/>
      <c r="S110" s="18" t="s">
        <v>204</v>
      </c>
      <c r="T110" s="158">
        <f t="shared" si="21"/>
        <v>0</v>
      </c>
      <c r="U110" s="159">
        <f t="shared" si="22"/>
        <v>0</v>
      </c>
      <c r="V110" s="131">
        <f t="shared" si="23"/>
        <v>0</v>
      </c>
      <c r="W110" s="131">
        <f t="shared" si="23"/>
        <v>0</v>
      </c>
      <c r="X110" s="131">
        <f t="shared" si="23"/>
        <v>0</v>
      </c>
      <c r="Y110" s="131">
        <f t="shared" si="23"/>
        <v>0</v>
      </c>
      <c r="Z110" s="131">
        <f t="shared" si="23"/>
        <v>0</v>
      </c>
      <c r="AA110" s="131">
        <f t="shared" si="23"/>
        <v>0</v>
      </c>
      <c r="AB110" s="153">
        <f t="shared" si="23"/>
        <v>0</v>
      </c>
      <c r="AC110" s="155">
        <f t="shared" si="23"/>
        <v>0</v>
      </c>
      <c r="AD110" s="20"/>
    </row>
    <row r="111" spans="5:30" x14ac:dyDescent="0.25">
      <c r="E111" s="21"/>
      <c r="F111" s="131">
        <f t="shared" ref="F111:O111" si="25">F90-$B$40</f>
        <v>0</v>
      </c>
      <c r="G111" s="131">
        <f t="shared" si="25"/>
        <v>0</v>
      </c>
      <c r="H111" s="131">
        <f t="shared" si="25"/>
        <v>0</v>
      </c>
      <c r="I111" s="131">
        <f t="shared" si="25"/>
        <v>0</v>
      </c>
      <c r="J111" s="131">
        <f t="shared" si="25"/>
        <v>0</v>
      </c>
      <c r="K111" s="131">
        <f t="shared" si="25"/>
        <v>0</v>
      </c>
      <c r="L111" s="131">
        <f t="shared" si="25"/>
        <v>0</v>
      </c>
      <c r="M111" s="131">
        <f t="shared" si="25"/>
        <v>0</v>
      </c>
      <c r="N111" s="148">
        <f t="shared" si="25"/>
        <v>0</v>
      </c>
      <c r="O111" s="131">
        <f t="shared" si="25"/>
        <v>0</v>
      </c>
      <c r="P111" s="20"/>
      <c r="S111" s="21"/>
      <c r="T111" s="131">
        <f t="shared" ref="T111:U113" si="26">W93-$B$40</f>
        <v>0</v>
      </c>
      <c r="U111" s="131">
        <f t="shared" si="26"/>
        <v>0</v>
      </c>
      <c r="V111" s="131">
        <f t="shared" si="23"/>
        <v>0</v>
      </c>
      <c r="W111" s="131">
        <f t="shared" si="23"/>
        <v>0</v>
      </c>
      <c r="X111" s="131">
        <f t="shared" si="23"/>
        <v>0</v>
      </c>
      <c r="Y111" s="131">
        <f t="shared" si="23"/>
        <v>0</v>
      </c>
      <c r="Z111" s="131">
        <f t="shared" si="23"/>
        <v>0</v>
      </c>
      <c r="AA111" s="131">
        <f t="shared" si="23"/>
        <v>0</v>
      </c>
      <c r="AB111" s="148">
        <f t="shared" si="23"/>
        <v>0</v>
      </c>
      <c r="AC111" s="131">
        <f t="shared" si="23"/>
        <v>0</v>
      </c>
      <c r="AD111" s="20"/>
    </row>
    <row r="112" spans="5:30" x14ac:dyDescent="0.25">
      <c r="E112" s="21"/>
      <c r="F112" s="131">
        <f t="shared" ref="F112:O112" si="27">F91-$B$40</f>
        <v>0</v>
      </c>
      <c r="G112" s="131">
        <f t="shared" si="27"/>
        <v>0</v>
      </c>
      <c r="H112" s="131">
        <f t="shared" si="27"/>
        <v>0</v>
      </c>
      <c r="I112" s="131">
        <f t="shared" si="27"/>
        <v>0</v>
      </c>
      <c r="J112" s="131">
        <f t="shared" si="27"/>
        <v>0</v>
      </c>
      <c r="K112" s="131">
        <f t="shared" si="27"/>
        <v>0</v>
      </c>
      <c r="L112" s="131">
        <f t="shared" si="27"/>
        <v>0</v>
      </c>
      <c r="M112" s="131">
        <f t="shared" si="27"/>
        <v>0</v>
      </c>
      <c r="N112" s="149">
        <f t="shared" si="27"/>
        <v>0</v>
      </c>
      <c r="O112" s="131">
        <f t="shared" si="27"/>
        <v>0</v>
      </c>
      <c r="P112" s="20"/>
      <c r="S112" s="21"/>
      <c r="T112" s="131">
        <f t="shared" si="26"/>
        <v>0</v>
      </c>
      <c r="U112" s="131">
        <f t="shared" si="26"/>
        <v>0</v>
      </c>
      <c r="V112" s="131">
        <f t="shared" si="23"/>
        <v>0</v>
      </c>
      <c r="W112" s="131">
        <f t="shared" si="23"/>
        <v>0</v>
      </c>
      <c r="X112" s="131">
        <f t="shared" si="23"/>
        <v>0</v>
      </c>
      <c r="Y112" s="131">
        <f t="shared" si="23"/>
        <v>0</v>
      </c>
      <c r="Z112" s="131">
        <f t="shared" si="23"/>
        <v>0</v>
      </c>
      <c r="AA112" s="131">
        <f t="shared" si="23"/>
        <v>0</v>
      </c>
      <c r="AB112" s="149">
        <f t="shared" si="23"/>
        <v>0</v>
      </c>
      <c r="AC112" s="131">
        <f t="shared" si="23"/>
        <v>0</v>
      </c>
      <c r="AD112" s="20"/>
    </row>
    <row r="113" spans="5:30" ht="15.75" thickBot="1" x14ac:dyDescent="0.3">
      <c r="E113" s="21"/>
      <c r="F113" s="131">
        <f t="shared" ref="F113:O113" si="28">F92-$B$40</f>
        <v>0</v>
      </c>
      <c r="G113" s="131">
        <f t="shared" si="28"/>
        <v>0</v>
      </c>
      <c r="H113" s="131">
        <f t="shared" si="28"/>
        <v>0</v>
      </c>
      <c r="I113" s="131">
        <f t="shared" si="28"/>
        <v>0</v>
      </c>
      <c r="J113" s="131">
        <f t="shared" si="28"/>
        <v>0</v>
      </c>
      <c r="K113" s="131">
        <f t="shared" si="28"/>
        <v>0</v>
      </c>
      <c r="L113" s="131">
        <f t="shared" si="28"/>
        <v>0</v>
      </c>
      <c r="M113" s="131">
        <f t="shared" si="28"/>
        <v>0</v>
      </c>
      <c r="N113" s="150">
        <f t="shared" si="28"/>
        <v>0</v>
      </c>
      <c r="O113" s="131">
        <f t="shared" si="28"/>
        <v>0</v>
      </c>
      <c r="P113" s="20"/>
      <c r="S113" s="21"/>
      <c r="T113" s="131">
        <f t="shared" si="26"/>
        <v>0</v>
      </c>
      <c r="U113" s="131">
        <f t="shared" si="26"/>
        <v>0</v>
      </c>
      <c r="V113" s="131">
        <f t="shared" si="23"/>
        <v>0</v>
      </c>
      <c r="W113" s="131">
        <f t="shared" si="23"/>
        <v>0</v>
      </c>
      <c r="X113" s="131">
        <f t="shared" si="23"/>
        <v>0</v>
      </c>
      <c r="Y113" s="131">
        <f t="shared" si="23"/>
        <v>0</v>
      </c>
      <c r="Z113" s="131">
        <f t="shared" si="23"/>
        <v>0</v>
      </c>
      <c r="AA113" s="131">
        <f t="shared" si="23"/>
        <v>0</v>
      </c>
      <c r="AB113" s="150">
        <f t="shared" si="23"/>
        <v>0</v>
      </c>
      <c r="AC113" s="131">
        <f t="shared" si="23"/>
        <v>0</v>
      </c>
      <c r="AD113" s="20"/>
    </row>
    <row r="114" spans="5:30" ht="15.75" thickBot="1" x14ac:dyDescent="0.3">
      <c r="E114" s="22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4"/>
      <c r="S114" s="22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4"/>
    </row>
    <row r="117" spans="5:30" ht="15.75" thickBot="1" x14ac:dyDescent="0.3"/>
    <row r="118" spans="5:30" x14ac:dyDescent="0.25">
      <c r="K118" s="103"/>
      <c r="L118" s="104"/>
      <c r="M118" s="104"/>
      <c r="N118" s="104"/>
      <c r="O118" s="104"/>
      <c r="P118" s="104"/>
      <c r="Q118" s="104"/>
      <c r="R118" s="104"/>
      <c r="S118" s="104"/>
      <c r="T118" s="104"/>
      <c r="U118" s="105"/>
    </row>
    <row r="119" spans="5:30" ht="15.75" x14ac:dyDescent="0.25">
      <c r="K119" s="106"/>
      <c r="L119" s="107" t="s">
        <v>154</v>
      </c>
      <c r="M119" s="108"/>
      <c r="N119" s="108"/>
      <c r="O119" s="108"/>
      <c r="P119" s="108"/>
      <c r="Q119" s="108"/>
      <c r="R119" s="108"/>
      <c r="S119" s="108"/>
      <c r="T119" s="108"/>
      <c r="U119" s="109"/>
    </row>
    <row r="120" spans="5:30" ht="15.75" x14ac:dyDescent="0.25">
      <c r="K120" s="110"/>
      <c r="L120" s="111" t="s">
        <v>155</v>
      </c>
      <c r="M120" s="108"/>
      <c r="N120" s="108"/>
      <c r="O120" s="108"/>
      <c r="P120" s="108"/>
      <c r="Q120" s="108"/>
      <c r="R120" s="108"/>
      <c r="S120" s="108"/>
      <c r="T120" s="108"/>
      <c r="U120" s="109"/>
    </row>
    <row r="121" spans="5:30" ht="15.75" x14ac:dyDescent="0.25">
      <c r="K121" s="110"/>
      <c r="L121" s="111" t="s">
        <v>85</v>
      </c>
      <c r="M121" s="108"/>
      <c r="N121" s="108"/>
      <c r="O121" s="108"/>
      <c r="P121" s="108"/>
      <c r="Q121" s="108"/>
      <c r="R121" s="108"/>
      <c r="S121" s="108"/>
      <c r="T121" s="108"/>
      <c r="U121" s="109"/>
    </row>
    <row r="122" spans="5:30" ht="17.25" x14ac:dyDescent="0.25">
      <c r="K122" s="112"/>
      <c r="L122" s="113" t="s">
        <v>159</v>
      </c>
      <c r="M122" s="108"/>
      <c r="N122" s="108"/>
      <c r="O122" s="108"/>
      <c r="P122" s="108"/>
      <c r="Q122" s="108"/>
      <c r="R122" s="108"/>
      <c r="S122" s="108"/>
      <c r="T122" s="108"/>
      <c r="U122" s="109"/>
    </row>
    <row r="123" spans="5:30" ht="15.75" x14ac:dyDescent="0.25">
      <c r="K123" s="114"/>
      <c r="L123" s="111" t="s">
        <v>157</v>
      </c>
      <c r="M123" s="108"/>
      <c r="N123" s="108"/>
      <c r="O123" s="108"/>
      <c r="P123" s="108"/>
      <c r="Q123" s="108"/>
      <c r="R123" s="108"/>
      <c r="S123" s="108"/>
      <c r="T123" s="108"/>
      <c r="U123" s="109"/>
    </row>
    <row r="124" spans="5:30" ht="15.75" x14ac:dyDescent="0.25">
      <c r="K124" s="114"/>
      <c r="L124" s="111"/>
      <c r="M124" s="108"/>
      <c r="N124" s="108"/>
      <c r="O124" s="108"/>
      <c r="P124" s="108"/>
      <c r="Q124" s="108"/>
      <c r="R124" s="108"/>
      <c r="S124" s="108"/>
      <c r="T124" s="108"/>
      <c r="U124" s="109"/>
    </row>
    <row r="125" spans="5:30" ht="17.25" x14ac:dyDescent="0.25">
      <c r="K125" s="112"/>
      <c r="L125" s="107" t="s">
        <v>156</v>
      </c>
      <c r="M125" s="108"/>
      <c r="N125" s="108"/>
      <c r="O125" s="108"/>
      <c r="P125" s="108"/>
      <c r="Q125" s="108"/>
      <c r="R125" s="108"/>
      <c r="S125" s="108"/>
      <c r="T125" s="108"/>
      <c r="U125" s="109"/>
    </row>
    <row r="126" spans="5:30" ht="15.75" x14ac:dyDescent="0.25">
      <c r="K126" s="110"/>
      <c r="L126" s="111" t="s">
        <v>158</v>
      </c>
      <c r="M126" s="108"/>
      <c r="N126" s="216"/>
      <c r="O126" s="216"/>
      <c r="P126" s="216"/>
      <c r="Q126" s="216"/>
      <c r="R126" s="216"/>
      <c r="S126" s="216"/>
      <c r="T126" s="216"/>
      <c r="U126" s="109"/>
      <c r="V126" s="217"/>
    </row>
    <row r="127" spans="5:30" ht="15.75" x14ac:dyDescent="0.25">
      <c r="K127" s="110"/>
      <c r="L127" s="111"/>
      <c r="M127" s="108"/>
      <c r="N127" s="108"/>
      <c r="O127" s="108"/>
      <c r="P127" s="108"/>
      <c r="Q127" s="108"/>
      <c r="R127" s="108"/>
      <c r="S127" s="108"/>
      <c r="T127" s="108"/>
      <c r="U127" s="109"/>
    </row>
    <row r="128" spans="5:30" ht="17.25" x14ac:dyDescent="0.25">
      <c r="K128" s="112"/>
      <c r="L128" s="107" t="s">
        <v>160</v>
      </c>
      <c r="M128" s="108"/>
      <c r="N128" s="108"/>
      <c r="O128" s="108"/>
      <c r="P128" s="108"/>
      <c r="Q128" s="108"/>
      <c r="R128" s="108"/>
      <c r="S128" s="108"/>
      <c r="T128" s="108"/>
      <c r="U128" s="109"/>
    </row>
    <row r="129" spans="10:22" ht="15.75" x14ac:dyDescent="0.25">
      <c r="K129" s="110"/>
      <c r="L129" s="111" t="s">
        <v>161</v>
      </c>
      <c r="M129" s="108"/>
      <c r="N129" s="108"/>
      <c r="O129" s="108"/>
      <c r="P129" s="108"/>
      <c r="Q129" s="108"/>
      <c r="R129" s="108"/>
      <c r="S129" s="108"/>
      <c r="T129" s="108"/>
      <c r="U129" s="109"/>
    </row>
    <row r="130" spans="10:22" ht="15.75" x14ac:dyDescent="0.25">
      <c r="K130" s="110"/>
      <c r="L130" s="111"/>
      <c r="M130" s="108"/>
      <c r="N130" s="108"/>
      <c r="O130" s="108"/>
      <c r="P130" s="108"/>
      <c r="Q130" s="108"/>
      <c r="R130" s="108"/>
      <c r="S130" s="108"/>
      <c r="T130" s="108"/>
      <c r="U130" s="109"/>
    </row>
    <row r="131" spans="10:22" ht="17.25" x14ac:dyDescent="0.25">
      <c r="K131" s="112"/>
      <c r="L131" s="113" t="s">
        <v>86</v>
      </c>
      <c r="M131" s="108"/>
      <c r="N131" s="108"/>
      <c r="O131" s="108"/>
      <c r="P131" s="108"/>
      <c r="Q131" s="108"/>
      <c r="R131" s="108"/>
      <c r="S131" s="108"/>
      <c r="T131" s="108"/>
      <c r="U131" s="109"/>
    </row>
    <row r="132" spans="10:22" ht="15.75" x14ac:dyDescent="0.25">
      <c r="K132" s="110"/>
      <c r="L132" s="111" t="s">
        <v>87</v>
      </c>
      <c r="M132" s="108"/>
      <c r="N132" s="108"/>
      <c r="O132" s="108"/>
      <c r="P132" s="108"/>
      <c r="Q132" s="108"/>
      <c r="R132" s="108"/>
      <c r="S132" s="108"/>
      <c r="T132" s="108"/>
      <c r="U132" s="109"/>
    </row>
    <row r="133" spans="10:22" ht="15.75" x14ac:dyDescent="0.25">
      <c r="K133" s="110"/>
      <c r="L133" s="111"/>
      <c r="M133" s="108"/>
      <c r="N133" s="108"/>
      <c r="O133" s="108"/>
      <c r="P133" s="108"/>
      <c r="Q133" s="108"/>
      <c r="R133" s="108"/>
      <c r="S133" s="108"/>
      <c r="T133" s="108"/>
      <c r="U133" s="109"/>
    </row>
    <row r="134" spans="10:22" ht="17.25" x14ac:dyDescent="0.25">
      <c r="K134" s="112"/>
      <c r="L134" s="107" t="s">
        <v>205</v>
      </c>
      <c r="M134" s="108"/>
      <c r="N134" s="108"/>
      <c r="O134" s="108"/>
      <c r="P134" s="108"/>
      <c r="Q134" s="108"/>
      <c r="R134" s="108"/>
      <c r="S134" s="108"/>
      <c r="T134" s="108"/>
      <c r="U134" s="109"/>
    </row>
    <row r="135" spans="10:22" ht="15.75" x14ac:dyDescent="0.25">
      <c r="K135" s="114"/>
      <c r="L135" s="115" t="s">
        <v>206</v>
      </c>
      <c r="M135" s="108"/>
      <c r="N135" s="108"/>
      <c r="O135" s="108"/>
      <c r="P135" s="108"/>
      <c r="Q135" s="108"/>
      <c r="R135" s="108"/>
      <c r="S135" s="108"/>
      <c r="T135" s="108"/>
      <c r="U135" s="109"/>
    </row>
    <row r="136" spans="10:22" ht="18" thickBot="1" x14ac:dyDescent="0.3">
      <c r="K136" s="116"/>
      <c r="L136" s="117"/>
      <c r="M136" s="117"/>
      <c r="N136" s="117"/>
      <c r="O136" s="117"/>
      <c r="P136" s="117"/>
      <c r="Q136" s="117"/>
      <c r="R136" s="117"/>
      <c r="S136" s="117"/>
      <c r="T136" s="117"/>
      <c r="U136" s="118"/>
    </row>
    <row r="137" spans="10:22" x14ac:dyDescent="0.25">
      <c r="K137" s="91"/>
    </row>
    <row r="138" spans="10:22" ht="21" x14ac:dyDescent="0.35">
      <c r="J138" s="102" t="s">
        <v>162</v>
      </c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</row>
  </sheetData>
  <sheetProtection algorithmName="SHA-512" hashValue="Nosmu/Qmf6MofsuqFrDnTS4QF4Sx/+CZbSjeETsXpXxCKDNjqVLJBUHKI4lm1mINx/giDDZ3YkoL4hTRZQKvrQ==" saltValue="LvbTAwtMzsE9q5fxsywvlQ==" spinCount="100000" sheet="1" objects="1" scenarios="1" selectLockedCells="1" selectUnlockedCells="1"/>
  <mergeCells count="27">
    <mergeCell ref="U29:V29"/>
    <mergeCell ref="T2:V2"/>
    <mergeCell ref="F2:H2"/>
    <mergeCell ref="Y21:Y23"/>
    <mergeCell ref="Z21:Z23"/>
    <mergeCell ref="Y24:Y26"/>
    <mergeCell ref="Z24:Z26"/>
    <mergeCell ref="L24:L26"/>
    <mergeCell ref="K21:K23"/>
    <mergeCell ref="L21:L23"/>
    <mergeCell ref="K24:K26"/>
    <mergeCell ref="G29:H29"/>
    <mergeCell ref="Q37:T37"/>
    <mergeCell ref="G83:M83"/>
    <mergeCell ref="F102:M102"/>
    <mergeCell ref="T102:AA102"/>
    <mergeCell ref="A37:C37"/>
    <mergeCell ref="A47:C47"/>
    <mergeCell ref="G58:M58"/>
    <mergeCell ref="Q39:T39"/>
    <mergeCell ref="Q40:T40"/>
    <mergeCell ref="Q38:T38"/>
    <mergeCell ref="B29:C29"/>
    <mergeCell ref="P29:Q29"/>
    <mergeCell ref="Q35:S35"/>
    <mergeCell ref="Q33:T33"/>
    <mergeCell ref="Q36:T36"/>
  </mergeCells>
  <phoneticPr fontId="25" type="noConversion"/>
  <pageMargins left="0.7" right="0.7" top="0.75" bottom="0.75" header="0.3" footer="0.3"/>
  <pageSetup scale="3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T92"/>
  <sheetViews>
    <sheetView tabSelected="1" zoomScaleNormal="100" workbookViewId="0">
      <selection activeCell="H65" sqref="H65"/>
    </sheetView>
  </sheetViews>
  <sheetFormatPr defaultColWidth="9.140625" defaultRowHeight="15" x14ac:dyDescent="0.25"/>
  <cols>
    <col min="1" max="1" width="9.140625" style="14" customWidth="1"/>
    <col min="2" max="2" width="35.7109375" style="8" customWidth="1"/>
    <col min="3" max="3" width="9.42578125" style="8" customWidth="1"/>
    <col min="4" max="4" width="9.140625" style="8" customWidth="1"/>
    <col min="5" max="5" width="9" style="8" bestFit="1" customWidth="1"/>
    <col min="6" max="6" width="7.5703125" style="8" customWidth="1"/>
    <col min="7" max="7" width="7.7109375" style="8" bestFit="1" customWidth="1"/>
    <col min="8" max="8" width="9" style="8" bestFit="1" customWidth="1"/>
    <col min="9" max="9" width="10.7109375" style="8" customWidth="1"/>
    <col min="10" max="10" width="32.28515625" style="8" customWidth="1"/>
    <col min="11" max="11" width="7.42578125" style="8" customWidth="1"/>
    <col min="12" max="12" width="7.7109375" style="8" customWidth="1"/>
    <col min="13" max="13" width="6.85546875" style="8" customWidth="1"/>
    <col min="14" max="14" width="18.5703125" style="8" customWidth="1"/>
    <col min="15" max="16384" width="9.140625" style="8"/>
  </cols>
  <sheetData>
    <row r="1" spans="1:20" s="14" customFormat="1" ht="15.75" thickBot="1" x14ac:dyDescent="0.3">
      <c r="B1" s="164">
        <v>1</v>
      </c>
      <c r="C1" s="164">
        <v>2</v>
      </c>
      <c r="D1" s="164">
        <v>3</v>
      </c>
      <c r="E1" s="164">
        <v>4</v>
      </c>
      <c r="F1" s="164">
        <v>5</v>
      </c>
      <c r="G1" s="164">
        <v>6</v>
      </c>
      <c r="H1" s="164">
        <v>7</v>
      </c>
      <c r="I1" s="164">
        <v>8</v>
      </c>
      <c r="J1" s="164">
        <v>9</v>
      </c>
      <c r="K1" s="164">
        <v>10</v>
      </c>
      <c r="L1" s="164">
        <v>11</v>
      </c>
      <c r="M1" s="164">
        <v>12</v>
      </c>
    </row>
    <row r="2" spans="1:20" ht="15.75" customHeight="1" thickTop="1" x14ac:dyDescent="0.25">
      <c r="A2" s="165" t="s">
        <v>88</v>
      </c>
      <c r="B2" s="166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8"/>
      <c r="N2" s="251" t="s">
        <v>145</v>
      </c>
      <c r="O2" s="252"/>
      <c r="P2" s="252"/>
      <c r="Q2" s="14"/>
      <c r="R2" s="14"/>
      <c r="S2" s="14"/>
      <c r="T2" s="14"/>
    </row>
    <row r="3" spans="1:20" x14ac:dyDescent="0.25">
      <c r="A3" s="165" t="s">
        <v>89</v>
      </c>
      <c r="B3" s="169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1"/>
      <c r="N3" s="214" t="s">
        <v>146</v>
      </c>
      <c r="O3" s="214"/>
      <c r="P3" s="214"/>
      <c r="Q3" s="14"/>
      <c r="R3" s="14"/>
      <c r="S3" s="14"/>
      <c r="T3" s="14"/>
    </row>
    <row r="4" spans="1:20" ht="15" customHeight="1" x14ac:dyDescent="0.25">
      <c r="A4" s="165" t="s">
        <v>90</v>
      </c>
      <c r="B4" s="169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/>
      <c r="N4" s="251" t="s">
        <v>147</v>
      </c>
      <c r="O4" s="252"/>
      <c r="P4" s="252"/>
      <c r="Q4" s="14"/>
      <c r="R4" s="14"/>
      <c r="S4" s="14"/>
      <c r="T4" s="14"/>
    </row>
    <row r="5" spans="1:20" x14ac:dyDescent="0.25">
      <c r="A5" s="165" t="s">
        <v>91</v>
      </c>
      <c r="B5" s="169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1"/>
      <c r="N5" s="251" t="s">
        <v>150</v>
      </c>
      <c r="O5" s="252"/>
      <c r="P5" s="252"/>
      <c r="Q5" s="14"/>
      <c r="R5" s="14"/>
      <c r="S5" s="14"/>
      <c r="T5" s="14"/>
    </row>
    <row r="6" spans="1:20" x14ac:dyDescent="0.25">
      <c r="A6" s="165" t="s">
        <v>92</v>
      </c>
      <c r="B6" s="169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  <c r="N6" s="210" t="s">
        <v>151</v>
      </c>
      <c r="O6" s="211"/>
      <c r="P6" s="211"/>
      <c r="Q6" s="14"/>
      <c r="R6" s="14"/>
      <c r="S6" s="14"/>
      <c r="T6" s="14"/>
    </row>
    <row r="7" spans="1:20" x14ac:dyDescent="0.25">
      <c r="A7" s="165" t="s">
        <v>93</v>
      </c>
      <c r="B7" s="169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1"/>
      <c r="N7" s="251" t="s">
        <v>148</v>
      </c>
      <c r="O7" s="252"/>
      <c r="P7" s="252"/>
      <c r="Q7" s="14"/>
      <c r="R7" s="14"/>
      <c r="S7" s="14"/>
      <c r="T7" s="14"/>
    </row>
    <row r="8" spans="1:20" x14ac:dyDescent="0.25">
      <c r="A8" s="165" t="s">
        <v>94</v>
      </c>
      <c r="B8" s="169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1"/>
      <c r="N8" s="214"/>
      <c r="O8" s="214"/>
      <c r="P8" s="214"/>
      <c r="Q8" s="14"/>
      <c r="R8" s="14"/>
      <c r="S8" s="14"/>
      <c r="T8" s="14"/>
    </row>
    <row r="9" spans="1:20" ht="15.75" thickBot="1" x14ac:dyDescent="0.3">
      <c r="A9" s="165" t="s">
        <v>95</v>
      </c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4"/>
      <c r="N9" s="214"/>
      <c r="O9" s="214"/>
      <c r="P9" s="214"/>
      <c r="Q9" s="14"/>
      <c r="R9" s="14"/>
      <c r="S9" s="14"/>
      <c r="T9" s="14"/>
    </row>
    <row r="10" spans="1:20" ht="16.5" thickTop="1" thickBot="1" x14ac:dyDescent="0.3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30.75" thickBot="1" x14ac:dyDescent="0.3">
      <c r="B11" s="218" t="s">
        <v>207</v>
      </c>
      <c r="C11" s="130" t="e">
        <f>AVERAGE(B2:B5)</f>
        <v>#DIV/0!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13"/>
      <c r="R12" s="213"/>
      <c r="S12" s="213"/>
      <c r="T12" s="120"/>
    </row>
    <row r="13" spans="1:20" ht="15.75" thickBot="1" x14ac:dyDescent="0.3">
      <c r="B13" s="14" t="s">
        <v>163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213"/>
      <c r="R13" s="213"/>
      <c r="S13" s="213"/>
      <c r="T13" s="120"/>
    </row>
    <row r="14" spans="1:20" x14ac:dyDescent="0.25">
      <c r="B14" s="15" t="s">
        <v>204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4"/>
      <c r="O14" s="14"/>
      <c r="P14" s="14"/>
      <c r="Q14" s="212"/>
      <c r="R14" s="212"/>
      <c r="S14" s="212"/>
      <c r="T14" s="120"/>
    </row>
    <row r="15" spans="1:20" x14ac:dyDescent="0.25">
      <c r="B15" s="18" t="s">
        <v>204</v>
      </c>
      <c r="C15" s="179" t="e">
        <f t="shared" ref="C15:L15" si="0">C3-$C$11</f>
        <v>#DIV/0!</v>
      </c>
      <c r="D15" s="179" t="e">
        <f t="shared" si="0"/>
        <v>#DIV/0!</v>
      </c>
      <c r="E15" s="179" t="e">
        <f t="shared" si="0"/>
        <v>#DIV/0!</v>
      </c>
      <c r="F15" s="179" t="e">
        <f t="shared" si="0"/>
        <v>#DIV/0!</v>
      </c>
      <c r="G15" s="179" t="e">
        <f t="shared" si="0"/>
        <v>#DIV/0!</v>
      </c>
      <c r="H15" s="179" t="e">
        <f t="shared" si="0"/>
        <v>#DIV/0!</v>
      </c>
      <c r="I15" s="179" t="e">
        <f t="shared" si="0"/>
        <v>#DIV/0!</v>
      </c>
      <c r="J15" s="179" t="e">
        <f t="shared" si="0"/>
        <v>#DIV/0!</v>
      </c>
      <c r="K15" s="185" t="e">
        <f t="shared" si="0"/>
        <v>#DIV/0!</v>
      </c>
      <c r="L15" s="186" t="e">
        <f t="shared" si="0"/>
        <v>#DIV/0!</v>
      </c>
      <c r="M15" s="20"/>
      <c r="N15" s="14"/>
      <c r="O15" s="14"/>
      <c r="P15" s="14"/>
      <c r="Q15" s="213"/>
      <c r="R15" s="213"/>
      <c r="S15" s="213"/>
      <c r="T15" s="120"/>
    </row>
    <row r="16" spans="1:20" x14ac:dyDescent="0.25">
      <c r="B16" s="18" t="s">
        <v>204</v>
      </c>
      <c r="C16" s="179" t="e">
        <f t="shared" ref="C16:L16" si="1">C4-$C$11</f>
        <v>#DIV/0!</v>
      </c>
      <c r="D16" s="179" t="e">
        <f t="shared" si="1"/>
        <v>#DIV/0!</v>
      </c>
      <c r="E16" s="179" t="e">
        <f t="shared" si="1"/>
        <v>#DIV/0!</v>
      </c>
      <c r="F16" s="179" t="e">
        <f t="shared" si="1"/>
        <v>#DIV/0!</v>
      </c>
      <c r="G16" s="179" t="e">
        <f t="shared" si="1"/>
        <v>#DIV/0!</v>
      </c>
      <c r="H16" s="179" t="e">
        <f t="shared" si="1"/>
        <v>#DIV/0!</v>
      </c>
      <c r="I16" s="179" t="e">
        <f t="shared" si="1"/>
        <v>#DIV/0!</v>
      </c>
      <c r="J16" s="179" t="e">
        <f t="shared" si="1"/>
        <v>#DIV/0!</v>
      </c>
      <c r="K16" s="185" t="e">
        <f t="shared" si="1"/>
        <v>#DIV/0!</v>
      </c>
      <c r="L16" s="186" t="e">
        <f t="shared" si="1"/>
        <v>#DIV/0!</v>
      </c>
      <c r="M16" s="20"/>
      <c r="N16" s="14"/>
      <c r="O16" s="14"/>
      <c r="P16" s="14"/>
      <c r="Q16" s="14"/>
      <c r="R16" s="14"/>
      <c r="S16" s="14"/>
      <c r="T16" s="14"/>
    </row>
    <row r="17" spans="2:20" x14ac:dyDescent="0.25">
      <c r="B17" s="18" t="s">
        <v>204</v>
      </c>
      <c r="C17" s="179" t="e">
        <f t="shared" ref="C17:L17" si="2">C5-$C$11</f>
        <v>#DIV/0!</v>
      </c>
      <c r="D17" s="179" t="e">
        <f t="shared" si="2"/>
        <v>#DIV/0!</v>
      </c>
      <c r="E17" s="179" t="e">
        <f t="shared" si="2"/>
        <v>#DIV/0!</v>
      </c>
      <c r="F17" s="179" t="e">
        <f t="shared" si="2"/>
        <v>#DIV/0!</v>
      </c>
      <c r="G17" s="179" t="e">
        <f t="shared" si="2"/>
        <v>#DIV/0!</v>
      </c>
      <c r="H17" s="179" t="e">
        <f t="shared" si="2"/>
        <v>#DIV/0!</v>
      </c>
      <c r="I17" s="179" t="e">
        <f t="shared" si="2"/>
        <v>#DIV/0!</v>
      </c>
      <c r="J17" s="179" t="e">
        <f t="shared" si="2"/>
        <v>#DIV/0!</v>
      </c>
      <c r="K17" s="185" t="e">
        <f t="shared" si="2"/>
        <v>#DIV/0!</v>
      </c>
      <c r="L17" s="186" t="e">
        <f t="shared" si="2"/>
        <v>#DIV/0!</v>
      </c>
      <c r="M17" s="20"/>
      <c r="N17" s="14"/>
      <c r="O17" s="14"/>
      <c r="P17" s="14"/>
      <c r="Q17" s="14"/>
      <c r="R17" s="14"/>
      <c r="S17" s="14"/>
      <c r="T17" s="14"/>
    </row>
    <row r="18" spans="2:20" x14ac:dyDescent="0.25">
      <c r="B18" s="21"/>
      <c r="C18" s="179" t="e">
        <f t="shared" ref="C18:L18" si="3">C6-$C$11</f>
        <v>#DIV/0!</v>
      </c>
      <c r="D18" s="179" t="e">
        <f t="shared" si="3"/>
        <v>#DIV/0!</v>
      </c>
      <c r="E18" s="179" t="e">
        <f t="shared" si="3"/>
        <v>#DIV/0!</v>
      </c>
      <c r="F18" s="179" t="e">
        <f t="shared" si="3"/>
        <v>#DIV/0!</v>
      </c>
      <c r="G18" s="179" t="e">
        <f t="shared" si="3"/>
        <v>#DIV/0!</v>
      </c>
      <c r="H18" s="179" t="e">
        <f t="shared" si="3"/>
        <v>#DIV/0!</v>
      </c>
      <c r="I18" s="179" t="e">
        <f t="shared" si="3"/>
        <v>#DIV/0!</v>
      </c>
      <c r="J18" s="179" t="e">
        <f t="shared" si="3"/>
        <v>#DIV/0!</v>
      </c>
      <c r="K18" s="187" t="e">
        <f t="shared" si="3"/>
        <v>#DIV/0!</v>
      </c>
      <c r="L18" s="179" t="e">
        <f t="shared" si="3"/>
        <v>#DIV/0!</v>
      </c>
      <c r="M18" s="20"/>
      <c r="N18" s="14"/>
      <c r="O18" s="14"/>
      <c r="P18" s="14"/>
      <c r="Q18" s="14"/>
      <c r="R18" s="14"/>
      <c r="S18" s="14"/>
      <c r="T18" s="14"/>
    </row>
    <row r="19" spans="2:20" x14ac:dyDescent="0.25">
      <c r="B19" s="21"/>
      <c r="C19" s="179" t="e">
        <f t="shared" ref="C19:L19" si="4">C7-$C$11</f>
        <v>#DIV/0!</v>
      </c>
      <c r="D19" s="179" t="e">
        <f t="shared" si="4"/>
        <v>#DIV/0!</v>
      </c>
      <c r="E19" s="179" t="e">
        <f t="shared" si="4"/>
        <v>#DIV/0!</v>
      </c>
      <c r="F19" s="179" t="e">
        <f t="shared" si="4"/>
        <v>#DIV/0!</v>
      </c>
      <c r="G19" s="179" t="e">
        <f t="shared" si="4"/>
        <v>#DIV/0!</v>
      </c>
      <c r="H19" s="179" t="e">
        <f t="shared" si="4"/>
        <v>#DIV/0!</v>
      </c>
      <c r="I19" s="179" t="e">
        <f t="shared" si="4"/>
        <v>#DIV/0!</v>
      </c>
      <c r="J19" s="179" t="e">
        <f t="shared" si="4"/>
        <v>#DIV/0!</v>
      </c>
      <c r="K19" s="187" t="e">
        <f t="shared" si="4"/>
        <v>#DIV/0!</v>
      </c>
      <c r="L19" s="179" t="e">
        <f t="shared" si="4"/>
        <v>#DIV/0!</v>
      </c>
      <c r="M19" s="20"/>
      <c r="N19" s="14"/>
      <c r="O19" s="14"/>
      <c r="P19" s="14"/>
      <c r="Q19" s="14"/>
      <c r="R19" s="14"/>
      <c r="S19" s="14"/>
      <c r="T19" s="14"/>
    </row>
    <row r="20" spans="2:20" x14ac:dyDescent="0.25">
      <c r="B20" s="21"/>
      <c r="C20" s="179" t="e">
        <f t="shared" ref="C20:L20" si="5">C8-$C$11</f>
        <v>#DIV/0!</v>
      </c>
      <c r="D20" s="179" t="e">
        <f t="shared" si="5"/>
        <v>#DIV/0!</v>
      </c>
      <c r="E20" s="179" t="e">
        <f t="shared" si="5"/>
        <v>#DIV/0!</v>
      </c>
      <c r="F20" s="179" t="e">
        <f t="shared" si="5"/>
        <v>#DIV/0!</v>
      </c>
      <c r="G20" s="179" t="e">
        <f t="shared" si="5"/>
        <v>#DIV/0!</v>
      </c>
      <c r="H20" s="179" t="e">
        <f t="shared" si="5"/>
        <v>#DIV/0!</v>
      </c>
      <c r="I20" s="179" t="e">
        <f t="shared" si="5"/>
        <v>#DIV/0!</v>
      </c>
      <c r="J20" s="179" t="e">
        <f t="shared" si="5"/>
        <v>#DIV/0!</v>
      </c>
      <c r="K20" s="187" t="e">
        <f t="shared" si="5"/>
        <v>#DIV/0!</v>
      </c>
      <c r="L20" s="179" t="e">
        <f t="shared" si="5"/>
        <v>#DIV/0!</v>
      </c>
      <c r="M20" s="20"/>
      <c r="N20" s="14"/>
      <c r="O20" s="14"/>
      <c r="P20" s="14"/>
      <c r="Q20" s="14"/>
      <c r="R20" s="14"/>
      <c r="S20" s="14"/>
      <c r="T20" s="14"/>
    </row>
    <row r="21" spans="2:20" ht="15.75" thickBot="1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14"/>
      <c r="O21" s="14"/>
      <c r="P21" s="14"/>
      <c r="Q21" s="14"/>
      <c r="R21" s="14"/>
      <c r="S21" s="14"/>
      <c r="T21" s="14"/>
    </row>
    <row r="22" spans="2:20" ht="15.75" thickBot="1" x14ac:dyDescent="0.3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ht="24.75" thickTop="1" thickBot="1" x14ac:dyDescent="0.3">
      <c r="B23" s="30" t="s">
        <v>12</v>
      </c>
      <c r="C23" s="31" t="s">
        <v>164</v>
      </c>
      <c r="D23" s="31" t="s">
        <v>165</v>
      </c>
      <c r="E23" s="32" t="s">
        <v>166</v>
      </c>
      <c r="F23" s="14"/>
      <c r="G23" s="76"/>
      <c r="H23" s="14"/>
      <c r="I23" s="14"/>
      <c r="J23" s="70" t="s">
        <v>72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ht="15" customHeight="1" thickTop="1" thickBot="1" x14ac:dyDescent="0.3">
      <c r="B24" s="33" t="s">
        <v>168</v>
      </c>
      <c r="C24" s="133" t="e">
        <f>'YF MAC-HD control check'!G5</f>
        <v>#DIV/0!</v>
      </c>
      <c r="D24" s="34" t="s">
        <v>40</v>
      </c>
      <c r="E24" s="35" t="e">
        <f>'YF MAC-HD control check'!H5</f>
        <v>#DIV/0!</v>
      </c>
      <c r="F24" s="14"/>
      <c r="G24" s="14"/>
      <c r="H24" s="69"/>
      <c r="I24" s="69"/>
      <c r="J24" s="69"/>
      <c r="K24" s="69"/>
      <c r="L24" s="69"/>
      <c r="M24" s="69"/>
      <c r="N24" s="14"/>
      <c r="O24" s="14"/>
      <c r="P24" s="14"/>
      <c r="Q24" s="14"/>
      <c r="R24" s="14"/>
      <c r="S24" s="14"/>
      <c r="T24" s="14"/>
    </row>
    <row r="25" spans="2:20" ht="16.5" thickTop="1" thickBot="1" x14ac:dyDescent="0.3">
      <c r="B25" s="33" t="s">
        <v>1</v>
      </c>
      <c r="C25" s="127" t="str">
        <f>'YF MAC-HD control check'!G8</f>
        <v>N/A</v>
      </c>
      <c r="D25" s="34" t="s">
        <v>59</v>
      </c>
      <c r="E25" s="35" t="e">
        <f>'YF MAC-HD control check'!H7</f>
        <v>#DIV/0!</v>
      </c>
      <c r="F25" s="14"/>
      <c r="G25" s="14"/>
      <c r="H25" s="69"/>
      <c r="I25" s="69"/>
      <c r="J25" s="71" t="s">
        <v>170</v>
      </c>
      <c r="K25" s="257" t="s">
        <v>184</v>
      </c>
      <c r="L25" s="258"/>
      <c r="M25" s="259"/>
      <c r="N25" s="14"/>
      <c r="O25" s="14"/>
      <c r="P25" s="14"/>
      <c r="Q25" s="14"/>
      <c r="R25" s="14"/>
      <c r="S25" s="14"/>
      <c r="T25" s="14"/>
    </row>
    <row r="26" spans="2:20" ht="16.5" thickTop="1" thickBot="1" x14ac:dyDescent="0.3">
      <c r="B26" s="33" t="s">
        <v>169</v>
      </c>
      <c r="C26" s="133" t="e">
        <f>'YF MAC-HD control check'!G14</f>
        <v>#DIV/0!</v>
      </c>
      <c r="D26" s="34" t="s">
        <v>42</v>
      </c>
      <c r="E26" s="35" t="e">
        <f>'YF MAC-HD control check'!H17</f>
        <v>#DIV/0!</v>
      </c>
      <c r="F26" s="14"/>
      <c r="G26" s="14"/>
      <c r="H26" s="69"/>
      <c r="I26" s="69"/>
      <c r="J26" s="71" t="s">
        <v>171</v>
      </c>
      <c r="K26" s="260" t="s">
        <v>185</v>
      </c>
      <c r="L26" s="261"/>
      <c r="M26" s="262"/>
      <c r="N26" s="14"/>
      <c r="O26" s="14"/>
      <c r="P26" s="14"/>
      <c r="Q26" s="14"/>
      <c r="R26" s="14"/>
      <c r="S26" s="14"/>
      <c r="T26" s="14"/>
    </row>
    <row r="27" spans="2:20" ht="16.5" thickTop="1" thickBot="1" x14ac:dyDescent="0.3">
      <c r="B27" s="33" t="s">
        <v>5</v>
      </c>
      <c r="C27" s="134" t="e">
        <f>'YF MAC-HD control check'!G18</f>
        <v>#DIV/0!</v>
      </c>
      <c r="D27" s="34" t="s">
        <v>38</v>
      </c>
      <c r="E27" s="35" t="e">
        <f>'YF MAC-HD control check'!H16</f>
        <v>#DIV/0!</v>
      </c>
      <c r="F27" s="14"/>
      <c r="G27" s="14"/>
      <c r="H27" s="69"/>
      <c r="I27" s="69"/>
      <c r="J27" s="71" t="s">
        <v>172</v>
      </c>
      <c r="K27" s="257" t="s">
        <v>186</v>
      </c>
      <c r="L27" s="258"/>
      <c r="M27" s="259"/>
      <c r="N27" s="14"/>
      <c r="O27" s="14"/>
      <c r="P27" s="14"/>
      <c r="Q27" s="14"/>
      <c r="R27" s="14"/>
      <c r="S27" s="14"/>
      <c r="T27" s="14"/>
    </row>
    <row r="28" spans="2:20" ht="16.5" thickTop="1" thickBot="1" x14ac:dyDescent="0.3">
      <c r="B28" s="33" t="s">
        <v>2</v>
      </c>
      <c r="C28" s="128" t="e">
        <f>'YF MAC-HD control check'!G27</f>
        <v>#DIV/0!</v>
      </c>
      <c r="D28" s="36"/>
      <c r="E28" s="37"/>
      <c r="F28" s="14"/>
      <c r="G28" s="14"/>
      <c r="H28" s="69"/>
      <c r="I28" s="69"/>
      <c r="J28" s="71" t="s">
        <v>173</v>
      </c>
      <c r="K28" s="257" t="s">
        <v>187</v>
      </c>
      <c r="L28" s="258"/>
      <c r="M28" s="259"/>
      <c r="N28" s="14"/>
      <c r="O28" s="14"/>
      <c r="P28" s="14"/>
      <c r="Q28" s="14"/>
      <c r="R28" s="14"/>
      <c r="S28" s="14"/>
      <c r="T28" s="14"/>
    </row>
    <row r="29" spans="2:20" ht="15" customHeight="1" thickTop="1" thickBot="1" x14ac:dyDescent="0.3">
      <c r="B29" s="33" t="s">
        <v>4</v>
      </c>
      <c r="C29" s="133" t="str">
        <f>IF(AND(ISNUMBER(C25),ISNUMBER(C28),ISNUMBER(C25/C28)),C25/C28,"N/A")</f>
        <v>N/A</v>
      </c>
      <c r="D29" s="34" t="s">
        <v>13</v>
      </c>
      <c r="E29" s="35" t="str">
        <f>IF(AND(ISNUMBER(C29),(C29&gt;=2)),"Valid", "Not valid")</f>
        <v>Not valid</v>
      </c>
      <c r="F29" s="14"/>
      <c r="G29" s="14"/>
      <c r="H29" s="69"/>
      <c r="I29" s="69"/>
      <c r="J29" s="71" t="s">
        <v>174</v>
      </c>
      <c r="K29" s="257" t="s">
        <v>188</v>
      </c>
      <c r="L29" s="258"/>
      <c r="M29" s="259"/>
      <c r="N29" s="14"/>
      <c r="O29" s="14"/>
      <c r="P29" s="14"/>
      <c r="Q29" s="14"/>
      <c r="R29" s="14"/>
      <c r="S29" s="14"/>
      <c r="T29" s="14"/>
    </row>
    <row r="30" spans="2:20" ht="15" customHeight="1" thickTop="1" thickBot="1" x14ac:dyDescent="0.3">
      <c r="B30" s="33" t="s">
        <v>176</v>
      </c>
      <c r="C30" s="133" t="e">
        <f>IF(OR(C25="N/A",C27="N/A"),"N/A",C25/C27)</f>
        <v>#DIV/0!</v>
      </c>
      <c r="D30" s="34" t="s">
        <v>58</v>
      </c>
      <c r="E30" s="35" t="e">
        <f>IF(AND(C30&lt;&gt;"N/A",C30&gt;=3),"Valid","Not Valid")</f>
        <v>#DIV/0!</v>
      </c>
      <c r="F30" s="14"/>
      <c r="G30" s="14"/>
      <c r="H30" s="69"/>
      <c r="I30" s="69"/>
      <c r="J30" s="71" t="s">
        <v>175</v>
      </c>
      <c r="K30" s="254" t="s">
        <v>189</v>
      </c>
      <c r="L30" s="255"/>
      <c r="M30" s="256"/>
      <c r="N30" s="14"/>
      <c r="O30" s="14"/>
      <c r="P30" s="14"/>
      <c r="Q30" s="14"/>
      <c r="R30" s="14"/>
      <c r="S30" s="14"/>
      <c r="T30" s="14"/>
    </row>
    <row r="31" spans="2:20" ht="19.5" customHeight="1" thickTop="1" thickBot="1" x14ac:dyDescent="0.55000000000000004">
      <c r="B31" s="81" t="s">
        <v>167</v>
      </c>
      <c r="C31" s="38"/>
      <c r="D31" s="39"/>
      <c r="E31" s="82" t="e">
        <f>IF(AND(E24="Valid",E25="Valid",E26="Valid",E27="Valid",E29="Valid", E30="Valid"),"Yes","No - Repeat")</f>
        <v>#DIV/0!</v>
      </c>
      <c r="F31" s="14"/>
      <c r="G31" s="5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2:20" ht="15.75" customHeight="1" thickTop="1" x14ac:dyDescent="0.5">
      <c r="B32" s="77"/>
      <c r="C32" s="72"/>
      <c r="D32" s="34"/>
      <c r="E32" s="34"/>
      <c r="F32" s="14"/>
      <c r="G32" s="5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ht="15.75" customHeight="1" thickBot="1" x14ac:dyDescent="0.55000000000000004">
      <c r="B33" s="77"/>
      <c r="C33" s="72"/>
      <c r="D33" s="34"/>
      <c r="E33" s="34"/>
      <c r="F33" s="14"/>
      <c r="G33" s="5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2:20" ht="39.75" customHeight="1" thickTop="1" thickBot="1" x14ac:dyDescent="0.55000000000000004">
      <c r="B34" s="219" t="s">
        <v>177</v>
      </c>
      <c r="C34" s="86" t="s">
        <v>0</v>
      </c>
      <c r="D34" s="32" t="s">
        <v>3</v>
      </c>
      <c r="E34" s="34"/>
      <c r="F34" s="14"/>
      <c r="G34" s="5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2:20" ht="20.100000000000001" customHeight="1" thickTop="1" x14ac:dyDescent="0.5">
      <c r="B35" s="78" t="s">
        <v>70</v>
      </c>
      <c r="C35" s="83" t="s">
        <v>73</v>
      </c>
      <c r="D35" s="84" t="s">
        <v>74</v>
      </c>
      <c r="E35" s="34"/>
      <c r="F35" s="14"/>
      <c r="G35" s="5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0" ht="19.5" customHeight="1" x14ac:dyDescent="0.5">
      <c r="B36" s="79" t="s">
        <v>71</v>
      </c>
      <c r="C36" s="84" t="s">
        <v>75</v>
      </c>
      <c r="D36" s="84" t="s">
        <v>74</v>
      </c>
      <c r="E36" s="14"/>
      <c r="F36" s="14"/>
      <c r="G36" s="5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2:20" ht="18" customHeight="1" x14ac:dyDescent="0.5">
      <c r="B37" s="79" t="s">
        <v>69</v>
      </c>
      <c r="C37" s="84" t="s">
        <v>77</v>
      </c>
      <c r="D37" s="84" t="s">
        <v>183</v>
      </c>
      <c r="E37" s="14"/>
      <c r="F37" s="14"/>
      <c r="G37" s="5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2:20" ht="18" customHeight="1" thickBot="1" x14ac:dyDescent="0.55000000000000004">
      <c r="B38" s="80" t="s">
        <v>69</v>
      </c>
      <c r="C38" s="85" t="s">
        <v>183</v>
      </c>
      <c r="D38" s="85" t="s">
        <v>77</v>
      </c>
      <c r="E38" s="14"/>
      <c r="F38" s="14"/>
      <c r="G38" s="5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0" ht="15.75" thickTop="1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0" ht="21" x14ac:dyDescent="0.35">
      <c r="B40" s="40" t="s">
        <v>190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0" ht="45.75" customHeight="1" x14ac:dyDescent="0.25">
      <c r="B41" s="126" t="s">
        <v>178</v>
      </c>
      <c r="C41" s="121" t="s">
        <v>179</v>
      </c>
      <c r="D41" s="122" t="s">
        <v>9</v>
      </c>
      <c r="E41" s="122" t="s">
        <v>0</v>
      </c>
      <c r="F41" s="122" t="s">
        <v>16</v>
      </c>
      <c r="G41" s="122" t="s">
        <v>10</v>
      </c>
      <c r="H41" s="122" t="s">
        <v>3</v>
      </c>
      <c r="I41" s="220" t="s">
        <v>180</v>
      </c>
      <c r="J41" s="123" t="s">
        <v>181</v>
      </c>
      <c r="K41" s="19"/>
      <c r="L41" s="14"/>
      <c r="M41" s="14"/>
      <c r="N41" s="14"/>
      <c r="O41" s="14"/>
      <c r="P41" s="14"/>
      <c r="Q41" s="14"/>
      <c r="R41" s="14"/>
      <c r="S41" s="14"/>
      <c r="T41" s="14"/>
    </row>
    <row r="42" spans="2:20" x14ac:dyDescent="0.25">
      <c r="B42" s="175">
        <v>1</v>
      </c>
      <c r="C42" s="178" t="s">
        <v>17</v>
      </c>
      <c r="D42" s="179" t="e">
        <f t="shared" ref="D42:D47" si="6">IF($E$31="YES",C15,"Invalid test")</f>
        <v>#DIV/0!</v>
      </c>
      <c r="E42" s="179" t="e">
        <f t="shared" ref="E42:E65" si="7">D42/$C$27</f>
        <v>#DIV/0!</v>
      </c>
      <c r="F42" s="69" t="s">
        <v>17</v>
      </c>
      <c r="G42" s="179" t="e">
        <f>IF(E31="YES",D15,"Invalid test")</f>
        <v>#DIV/0!</v>
      </c>
      <c r="H42" s="224" t="e">
        <f>IF(AND(ISNUMBER(D42),ISNUMBER(G42),ISNUMBER(D42/G42),D42/G42&gt;0),D42/G42, "Not valid")</f>
        <v>#DIV/0!</v>
      </c>
      <c r="I42" s="180" t="str">
        <f>IF(AND(ISNUMBER(H42)),IF(AND(H42&gt;=1.5,E42&gt;=2),"POS",IF(AND(H42&gt;=1.5,E42&gt;1.5),"EQ","NEG")),"Not valid")</f>
        <v>Not valid</v>
      </c>
      <c r="J42" s="176" t="str">
        <f>IF(I42="POS","POS",IF(I42="EQ","EQ repeat using optional YF MAC-ON",IF(I42="NEG","NEG","Repetir la prueba de la muestra")))</f>
        <v>Repetir la prueba de la muestra</v>
      </c>
      <c r="K42" s="19"/>
      <c r="L42" s="14"/>
      <c r="M42" s="14"/>
      <c r="N42" s="14"/>
      <c r="O42" s="14"/>
      <c r="P42" s="14"/>
      <c r="Q42" s="14"/>
      <c r="R42" s="14"/>
      <c r="S42" s="14"/>
      <c r="T42" s="14"/>
    </row>
    <row r="43" spans="2:20" x14ac:dyDescent="0.25">
      <c r="B43" s="175">
        <v>2</v>
      </c>
      <c r="C43" s="178" t="s">
        <v>18</v>
      </c>
      <c r="D43" s="179" t="e">
        <f t="shared" si="6"/>
        <v>#DIV/0!</v>
      </c>
      <c r="E43" s="179" t="e">
        <f t="shared" si="7"/>
        <v>#DIV/0!</v>
      </c>
      <c r="F43" s="69" t="s">
        <v>18</v>
      </c>
      <c r="G43" s="179" t="e">
        <f>IF($E$31="YES",D16,"Invalid test")</f>
        <v>#DIV/0!</v>
      </c>
      <c r="H43" s="225" t="e">
        <f t="shared" ref="H43:H65" si="8">IF(AND(ISNUMBER(D43),ISNUMBER(G43),ISNUMBER(D43/G43),D43/G43&gt;0),D43/G43, "Not valid")</f>
        <v>#DIV/0!</v>
      </c>
      <c r="I43" s="180" t="str">
        <f t="shared" ref="I43:I65" si="9">IF(AND(ISNUMBER(H43)),IF(AND(H43&gt;=1.5,E43&gt;=2),"POS",IF(AND(H43&gt;=1.5,E43&gt;1.5),"EQ","NEG")),"Not valid")</f>
        <v>Not valid</v>
      </c>
      <c r="J43" s="176" t="str">
        <f t="shared" ref="J43:J65" si="10">IF(I43="POS","POS",IF(I43="EQ","EQ repeat using optional YF MAC-ON",IF(I43="NEG","NEG","Repetir la prueba de la muestra")))</f>
        <v>Repetir la prueba de la muestra</v>
      </c>
      <c r="K43" s="19"/>
      <c r="L43" s="14"/>
      <c r="M43" s="14"/>
      <c r="N43" s="14"/>
      <c r="O43" s="14"/>
      <c r="P43" s="14"/>
      <c r="Q43" s="14"/>
      <c r="R43" s="14"/>
      <c r="S43" s="14"/>
      <c r="T43" s="14"/>
    </row>
    <row r="44" spans="2:20" x14ac:dyDescent="0.25">
      <c r="B44" s="175">
        <v>3</v>
      </c>
      <c r="C44" s="178" t="s">
        <v>19</v>
      </c>
      <c r="D44" s="179" t="e">
        <f t="shared" si="6"/>
        <v>#DIV/0!</v>
      </c>
      <c r="E44" s="179" t="e">
        <f t="shared" si="7"/>
        <v>#DIV/0!</v>
      </c>
      <c r="F44" s="69" t="s">
        <v>19</v>
      </c>
      <c r="G44" s="179" t="e">
        <f>IF($E$31="YES",D17,"Invalid test")</f>
        <v>#DIV/0!</v>
      </c>
      <c r="H44" s="225" t="e">
        <f t="shared" si="8"/>
        <v>#DIV/0!</v>
      </c>
      <c r="I44" s="180" t="str">
        <f t="shared" si="9"/>
        <v>Not valid</v>
      </c>
      <c r="J44" s="176" t="str">
        <f t="shared" si="10"/>
        <v>Repetir la prueba de la muestra</v>
      </c>
      <c r="K44" s="19"/>
      <c r="L44" s="14"/>
      <c r="M44" s="14"/>
      <c r="N44" s="14"/>
      <c r="O44" s="14"/>
      <c r="P44" s="14"/>
      <c r="Q44" s="14"/>
      <c r="R44" s="14"/>
      <c r="S44" s="14"/>
      <c r="T44" s="14"/>
    </row>
    <row r="45" spans="2:20" x14ac:dyDescent="0.25">
      <c r="B45" s="175">
        <v>4</v>
      </c>
      <c r="C45" s="178" t="s">
        <v>20</v>
      </c>
      <c r="D45" s="179" t="e">
        <f t="shared" si="6"/>
        <v>#DIV/0!</v>
      </c>
      <c r="E45" s="179" t="e">
        <f t="shared" si="7"/>
        <v>#DIV/0!</v>
      </c>
      <c r="F45" s="69" t="s">
        <v>20</v>
      </c>
      <c r="G45" s="179" t="e">
        <f>IF($E$31="YES",D18,"Invalid test")</f>
        <v>#DIV/0!</v>
      </c>
      <c r="H45" s="225" t="e">
        <f t="shared" si="8"/>
        <v>#DIV/0!</v>
      </c>
      <c r="I45" s="180" t="str">
        <f t="shared" si="9"/>
        <v>Not valid</v>
      </c>
      <c r="J45" s="176" t="str">
        <f t="shared" si="10"/>
        <v>Repetir la prueba de la muestra</v>
      </c>
      <c r="K45" s="19"/>
      <c r="L45" s="14"/>
      <c r="M45" s="14"/>
      <c r="N45" s="14"/>
      <c r="O45" s="14"/>
      <c r="P45" s="14"/>
      <c r="Q45" s="14"/>
      <c r="R45" s="14"/>
      <c r="S45" s="14"/>
      <c r="T45" s="14"/>
    </row>
    <row r="46" spans="2:20" x14ac:dyDescent="0.25">
      <c r="B46" s="175">
        <v>5</v>
      </c>
      <c r="C46" s="178" t="s">
        <v>21</v>
      </c>
      <c r="D46" s="179" t="e">
        <f t="shared" si="6"/>
        <v>#DIV/0!</v>
      </c>
      <c r="E46" s="179" t="e">
        <f t="shared" si="7"/>
        <v>#DIV/0!</v>
      </c>
      <c r="F46" s="69" t="s">
        <v>21</v>
      </c>
      <c r="G46" s="179" t="e">
        <f>IF($E$31="YES",D19,"Invalid test")</f>
        <v>#DIV/0!</v>
      </c>
      <c r="H46" s="225" t="e">
        <f t="shared" si="8"/>
        <v>#DIV/0!</v>
      </c>
      <c r="I46" s="180" t="str">
        <f t="shared" si="9"/>
        <v>Not valid</v>
      </c>
      <c r="J46" s="176" t="str">
        <f t="shared" si="10"/>
        <v>Repetir la prueba de la muestra</v>
      </c>
      <c r="K46" s="19"/>
      <c r="L46" s="14"/>
      <c r="M46" s="14"/>
      <c r="N46" s="14"/>
      <c r="O46" s="14"/>
      <c r="P46" s="14"/>
      <c r="Q46" s="14"/>
      <c r="R46" s="14"/>
      <c r="S46" s="14"/>
      <c r="T46" s="14"/>
    </row>
    <row r="47" spans="2:20" x14ac:dyDescent="0.25">
      <c r="B47" s="175">
        <v>6</v>
      </c>
      <c r="C47" s="178" t="s">
        <v>103</v>
      </c>
      <c r="D47" s="179" t="e">
        <f t="shared" si="6"/>
        <v>#DIV/0!</v>
      </c>
      <c r="E47" s="179" t="e">
        <f t="shared" si="7"/>
        <v>#DIV/0!</v>
      </c>
      <c r="F47" s="69" t="s">
        <v>103</v>
      </c>
      <c r="G47" s="179" t="e">
        <f>IF($E$31="YES",D20,"Invalid test")</f>
        <v>#DIV/0!</v>
      </c>
      <c r="H47" s="225" t="e">
        <f t="shared" si="8"/>
        <v>#DIV/0!</v>
      </c>
      <c r="I47" s="180" t="str">
        <f t="shared" si="9"/>
        <v>Not valid</v>
      </c>
      <c r="J47" s="176" t="str">
        <f t="shared" si="10"/>
        <v>Repetir la prueba de la muestra</v>
      </c>
      <c r="K47" s="19"/>
      <c r="L47" s="14"/>
      <c r="M47" s="14"/>
      <c r="N47" s="14"/>
      <c r="O47" s="14"/>
      <c r="P47" s="14"/>
      <c r="Q47" s="14"/>
      <c r="R47" s="14"/>
      <c r="S47" s="14"/>
      <c r="T47" s="14"/>
    </row>
    <row r="48" spans="2:20" x14ac:dyDescent="0.25">
      <c r="B48" s="175">
        <v>7</v>
      </c>
      <c r="C48" s="178" t="s">
        <v>22</v>
      </c>
      <c r="D48" s="179" t="e">
        <f t="shared" ref="D48:D53" si="11">IF($E$31="YES",E15,"Invalid test")</f>
        <v>#DIV/0!</v>
      </c>
      <c r="E48" s="179" t="e">
        <f t="shared" si="7"/>
        <v>#DIV/0!</v>
      </c>
      <c r="F48" s="69" t="s">
        <v>22</v>
      </c>
      <c r="G48" s="179" t="e">
        <f t="shared" ref="G48:G53" si="12">IF($E$31="YES",F15,"Invalid test")</f>
        <v>#DIV/0!</v>
      </c>
      <c r="H48" s="225" t="e">
        <f t="shared" si="8"/>
        <v>#DIV/0!</v>
      </c>
      <c r="I48" s="180" t="str">
        <f t="shared" si="9"/>
        <v>Not valid</v>
      </c>
      <c r="J48" s="176" t="str">
        <f t="shared" si="10"/>
        <v>Repetir la prueba de la muestra</v>
      </c>
      <c r="K48" s="19"/>
      <c r="L48" s="14"/>
      <c r="M48" s="14"/>
      <c r="N48" s="14"/>
      <c r="O48" s="14"/>
      <c r="P48" s="14"/>
      <c r="Q48" s="14"/>
      <c r="R48" s="14"/>
      <c r="S48" s="14"/>
      <c r="T48" s="14"/>
    </row>
    <row r="49" spans="2:20" x14ac:dyDescent="0.25">
      <c r="B49" s="175">
        <v>8</v>
      </c>
      <c r="C49" s="178" t="s">
        <v>23</v>
      </c>
      <c r="D49" s="179" t="e">
        <f t="shared" si="11"/>
        <v>#DIV/0!</v>
      </c>
      <c r="E49" s="179" t="e">
        <f t="shared" si="7"/>
        <v>#DIV/0!</v>
      </c>
      <c r="F49" s="69" t="s">
        <v>23</v>
      </c>
      <c r="G49" s="179" t="e">
        <f t="shared" si="12"/>
        <v>#DIV/0!</v>
      </c>
      <c r="H49" s="225" t="e">
        <f t="shared" si="8"/>
        <v>#DIV/0!</v>
      </c>
      <c r="I49" s="180" t="str">
        <f t="shared" si="9"/>
        <v>Not valid</v>
      </c>
      <c r="J49" s="176" t="str">
        <f t="shared" si="10"/>
        <v>Repetir la prueba de la muestra</v>
      </c>
      <c r="K49" s="19"/>
      <c r="L49" s="14"/>
      <c r="M49" s="14"/>
      <c r="N49" s="14"/>
      <c r="O49" s="14"/>
      <c r="P49" s="14"/>
      <c r="Q49" s="14"/>
      <c r="R49" s="14"/>
      <c r="S49" s="14"/>
      <c r="T49" s="14"/>
    </row>
    <row r="50" spans="2:20" x14ac:dyDescent="0.25">
      <c r="B50" s="175">
        <v>9</v>
      </c>
      <c r="C50" s="178" t="s">
        <v>24</v>
      </c>
      <c r="D50" s="179" t="e">
        <f t="shared" si="11"/>
        <v>#DIV/0!</v>
      </c>
      <c r="E50" s="179" t="e">
        <f t="shared" si="7"/>
        <v>#DIV/0!</v>
      </c>
      <c r="F50" s="69" t="s">
        <v>24</v>
      </c>
      <c r="G50" s="179" t="e">
        <f t="shared" si="12"/>
        <v>#DIV/0!</v>
      </c>
      <c r="H50" s="225" t="e">
        <f t="shared" si="8"/>
        <v>#DIV/0!</v>
      </c>
      <c r="I50" s="180" t="str">
        <f t="shared" si="9"/>
        <v>Not valid</v>
      </c>
      <c r="J50" s="176" t="str">
        <f t="shared" si="10"/>
        <v>Repetir la prueba de la muestra</v>
      </c>
      <c r="K50" s="19"/>
      <c r="L50" s="14"/>
      <c r="M50" s="14"/>
      <c r="N50" s="14"/>
      <c r="O50" s="14"/>
      <c r="P50" s="14"/>
      <c r="Q50" s="14"/>
      <c r="R50" s="14"/>
      <c r="S50" s="14"/>
      <c r="T50" s="14"/>
    </row>
    <row r="51" spans="2:20" x14ac:dyDescent="0.25">
      <c r="B51" s="175">
        <v>10</v>
      </c>
      <c r="C51" s="178" t="s">
        <v>25</v>
      </c>
      <c r="D51" s="179" t="e">
        <f t="shared" si="11"/>
        <v>#DIV/0!</v>
      </c>
      <c r="E51" s="179" t="e">
        <f t="shared" si="7"/>
        <v>#DIV/0!</v>
      </c>
      <c r="F51" s="69" t="s">
        <v>25</v>
      </c>
      <c r="G51" s="179" t="e">
        <f t="shared" si="12"/>
        <v>#DIV/0!</v>
      </c>
      <c r="H51" s="225" t="e">
        <f t="shared" si="8"/>
        <v>#DIV/0!</v>
      </c>
      <c r="I51" s="180" t="str">
        <f t="shared" si="9"/>
        <v>Not valid</v>
      </c>
      <c r="J51" s="176" t="str">
        <f t="shared" si="10"/>
        <v>Repetir la prueba de la muestra</v>
      </c>
      <c r="K51" s="19"/>
      <c r="L51" s="14"/>
      <c r="M51" s="14"/>
      <c r="N51" s="14"/>
      <c r="O51" s="14"/>
      <c r="P51" s="14"/>
      <c r="Q51" s="14"/>
      <c r="R51" s="14"/>
      <c r="S51" s="14"/>
      <c r="T51" s="14"/>
    </row>
    <row r="52" spans="2:20" x14ac:dyDescent="0.25">
      <c r="B52" s="175">
        <v>11</v>
      </c>
      <c r="C52" s="178" t="s">
        <v>26</v>
      </c>
      <c r="D52" s="179" t="e">
        <f t="shared" si="11"/>
        <v>#DIV/0!</v>
      </c>
      <c r="E52" s="179" t="e">
        <f t="shared" si="7"/>
        <v>#DIV/0!</v>
      </c>
      <c r="F52" s="69" t="s">
        <v>26</v>
      </c>
      <c r="G52" s="179" t="e">
        <f t="shared" si="12"/>
        <v>#DIV/0!</v>
      </c>
      <c r="H52" s="225" t="e">
        <f t="shared" si="8"/>
        <v>#DIV/0!</v>
      </c>
      <c r="I52" s="180" t="str">
        <f t="shared" si="9"/>
        <v>Not valid</v>
      </c>
      <c r="J52" s="176" t="str">
        <f t="shared" si="10"/>
        <v>Repetir la prueba de la muestra</v>
      </c>
      <c r="K52" s="19"/>
      <c r="L52" s="14"/>
      <c r="M52" s="14"/>
      <c r="N52" s="14"/>
      <c r="O52" s="14"/>
      <c r="P52" s="14"/>
      <c r="Q52" s="14"/>
      <c r="R52" s="14"/>
      <c r="S52" s="14"/>
      <c r="T52" s="14"/>
    </row>
    <row r="53" spans="2:20" x14ac:dyDescent="0.25">
      <c r="B53" s="175">
        <v>12</v>
      </c>
      <c r="C53" s="178" t="s">
        <v>104</v>
      </c>
      <c r="D53" s="179" t="e">
        <f t="shared" si="11"/>
        <v>#DIV/0!</v>
      </c>
      <c r="E53" s="179" t="e">
        <f t="shared" si="7"/>
        <v>#DIV/0!</v>
      </c>
      <c r="F53" s="69" t="s">
        <v>104</v>
      </c>
      <c r="G53" s="179" t="e">
        <f t="shared" si="12"/>
        <v>#DIV/0!</v>
      </c>
      <c r="H53" s="225" t="e">
        <f t="shared" si="8"/>
        <v>#DIV/0!</v>
      </c>
      <c r="I53" s="180" t="str">
        <f t="shared" si="9"/>
        <v>Not valid</v>
      </c>
      <c r="J53" s="176" t="str">
        <f t="shared" si="10"/>
        <v>Repetir la prueba de la muestra</v>
      </c>
      <c r="K53" s="19"/>
      <c r="L53" s="14"/>
      <c r="M53" s="14"/>
      <c r="N53" s="14"/>
      <c r="O53" s="14"/>
      <c r="P53" s="14"/>
      <c r="Q53" s="14"/>
      <c r="R53" s="14"/>
      <c r="S53" s="14"/>
      <c r="T53" s="14"/>
    </row>
    <row r="54" spans="2:20" x14ac:dyDescent="0.25">
      <c r="B54" s="175">
        <v>13</v>
      </c>
      <c r="C54" s="178" t="s">
        <v>27</v>
      </c>
      <c r="D54" s="179" t="e">
        <f t="shared" ref="D54:D59" si="13">IF($E$31="YES",G15,"Invalid test")</f>
        <v>#DIV/0!</v>
      </c>
      <c r="E54" s="179" t="e">
        <f t="shared" si="7"/>
        <v>#DIV/0!</v>
      </c>
      <c r="F54" s="69" t="s">
        <v>27</v>
      </c>
      <c r="G54" s="179" t="e">
        <f t="shared" ref="G54:G59" si="14">IF($E$31="YES",H15,"Invalid test")</f>
        <v>#DIV/0!</v>
      </c>
      <c r="H54" s="225" t="e">
        <f t="shared" si="8"/>
        <v>#DIV/0!</v>
      </c>
      <c r="I54" s="180" t="str">
        <f t="shared" si="9"/>
        <v>Not valid</v>
      </c>
      <c r="J54" s="176" t="str">
        <f t="shared" si="10"/>
        <v>Repetir la prueba de la muestra</v>
      </c>
      <c r="K54" s="19"/>
      <c r="L54" s="14"/>
      <c r="M54" s="14"/>
      <c r="N54" s="14"/>
      <c r="O54" s="14"/>
      <c r="P54" s="14"/>
      <c r="Q54" s="14"/>
      <c r="R54" s="14"/>
      <c r="S54" s="14"/>
      <c r="T54" s="14"/>
    </row>
    <row r="55" spans="2:20" x14ac:dyDescent="0.25">
      <c r="B55" s="175">
        <v>14</v>
      </c>
      <c r="C55" s="178" t="s">
        <v>28</v>
      </c>
      <c r="D55" s="179" t="e">
        <f t="shared" si="13"/>
        <v>#DIV/0!</v>
      </c>
      <c r="E55" s="179" t="e">
        <f t="shared" si="7"/>
        <v>#DIV/0!</v>
      </c>
      <c r="F55" s="69" t="s">
        <v>28</v>
      </c>
      <c r="G55" s="179" t="e">
        <f t="shared" si="14"/>
        <v>#DIV/0!</v>
      </c>
      <c r="H55" s="225" t="e">
        <f t="shared" si="8"/>
        <v>#DIV/0!</v>
      </c>
      <c r="I55" s="180" t="str">
        <f t="shared" si="9"/>
        <v>Not valid</v>
      </c>
      <c r="J55" s="176" t="str">
        <f t="shared" si="10"/>
        <v>Repetir la prueba de la muestra</v>
      </c>
      <c r="K55" s="19"/>
      <c r="L55" s="14"/>
      <c r="M55" s="14"/>
      <c r="N55" s="14"/>
      <c r="O55" s="14"/>
      <c r="P55" s="14"/>
      <c r="Q55" s="14"/>
      <c r="R55" s="14"/>
      <c r="S55" s="14"/>
      <c r="T55" s="14"/>
    </row>
    <row r="56" spans="2:20" x14ac:dyDescent="0.25">
      <c r="B56" s="175">
        <v>15</v>
      </c>
      <c r="C56" s="178" t="s">
        <v>29</v>
      </c>
      <c r="D56" s="179" t="e">
        <f t="shared" si="13"/>
        <v>#DIV/0!</v>
      </c>
      <c r="E56" s="179" t="e">
        <f t="shared" si="7"/>
        <v>#DIV/0!</v>
      </c>
      <c r="F56" s="69" t="s">
        <v>29</v>
      </c>
      <c r="G56" s="179" t="e">
        <f t="shared" si="14"/>
        <v>#DIV/0!</v>
      </c>
      <c r="H56" s="225" t="e">
        <f t="shared" si="8"/>
        <v>#DIV/0!</v>
      </c>
      <c r="I56" s="180" t="str">
        <f t="shared" si="9"/>
        <v>Not valid</v>
      </c>
      <c r="J56" s="176" t="str">
        <f t="shared" si="10"/>
        <v>Repetir la prueba de la muestra</v>
      </c>
      <c r="K56" s="19"/>
      <c r="L56" s="14"/>
      <c r="M56" s="14"/>
      <c r="N56" s="14"/>
      <c r="O56" s="14"/>
      <c r="P56" s="14"/>
      <c r="Q56" s="14"/>
      <c r="R56" s="14"/>
      <c r="S56" s="14"/>
      <c r="T56" s="14"/>
    </row>
    <row r="57" spans="2:20" x14ac:dyDescent="0.25">
      <c r="B57" s="175">
        <v>16</v>
      </c>
      <c r="C57" s="178" t="s">
        <v>30</v>
      </c>
      <c r="D57" s="179" t="e">
        <f t="shared" si="13"/>
        <v>#DIV/0!</v>
      </c>
      <c r="E57" s="179" t="e">
        <f t="shared" si="7"/>
        <v>#DIV/0!</v>
      </c>
      <c r="F57" s="69" t="s">
        <v>30</v>
      </c>
      <c r="G57" s="179" t="e">
        <f t="shared" si="14"/>
        <v>#DIV/0!</v>
      </c>
      <c r="H57" s="225" t="e">
        <f t="shared" si="8"/>
        <v>#DIV/0!</v>
      </c>
      <c r="I57" s="180" t="str">
        <f t="shared" si="9"/>
        <v>Not valid</v>
      </c>
      <c r="J57" s="176" t="str">
        <f t="shared" si="10"/>
        <v>Repetir la prueba de la muestra</v>
      </c>
      <c r="K57" s="19"/>
      <c r="L57" s="14"/>
      <c r="M57" s="14"/>
      <c r="N57" s="14"/>
      <c r="O57" s="14"/>
      <c r="P57" s="14"/>
      <c r="Q57" s="14"/>
      <c r="R57" s="14"/>
      <c r="S57" s="14"/>
      <c r="T57" s="14"/>
    </row>
    <row r="58" spans="2:20" x14ac:dyDescent="0.25">
      <c r="B58" s="175">
        <v>17</v>
      </c>
      <c r="C58" s="178" t="s">
        <v>31</v>
      </c>
      <c r="D58" s="179" t="e">
        <f t="shared" si="13"/>
        <v>#DIV/0!</v>
      </c>
      <c r="E58" s="179" t="e">
        <f t="shared" si="7"/>
        <v>#DIV/0!</v>
      </c>
      <c r="F58" s="69" t="s">
        <v>31</v>
      </c>
      <c r="G58" s="179" t="e">
        <f t="shared" si="14"/>
        <v>#DIV/0!</v>
      </c>
      <c r="H58" s="225" t="e">
        <f t="shared" si="8"/>
        <v>#DIV/0!</v>
      </c>
      <c r="I58" s="180" t="str">
        <f t="shared" si="9"/>
        <v>Not valid</v>
      </c>
      <c r="J58" s="176" t="str">
        <f t="shared" si="10"/>
        <v>Repetir la prueba de la muestra</v>
      </c>
      <c r="K58" s="19"/>
      <c r="L58" s="14"/>
      <c r="M58" s="14"/>
      <c r="N58" s="14"/>
      <c r="O58" s="14"/>
      <c r="P58" s="14"/>
      <c r="Q58" s="14"/>
      <c r="R58" s="14"/>
      <c r="S58" s="14"/>
      <c r="T58" s="14"/>
    </row>
    <row r="59" spans="2:20" x14ac:dyDescent="0.25">
      <c r="B59" s="175">
        <v>18</v>
      </c>
      <c r="C59" s="178" t="s">
        <v>105</v>
      </c>
      <c r="D59" s="179" t="e">
        <f t="shared" si="13"/>
        <v>#DIV/0!</v>
      </c>
      <c r="E59" s="179" t="e">
        <f t="shared" si="7"/>
        <v>#DIV/0!</v>
      </c>
      <c r="F59" s="69" t="s">
        <v>105</v>
      </c>
      <c r="G59" s="179" t="e">
        <f t="shared" si="14"/>
        <v>#DIV/0!</v>
      </c>
      <c r="H59" s="225" t="e">
        <f t="shared" si="8"/>
        <v>#DIV/0!</v>
      </c>
      <c r="I59" s="180" t="str">
        <f t="shared" si="9"/>
        <v>Not valid</v>
      </c>
      <c r="J59" s="176" t="str">
        <f t="shared" si="10"/>
        <v>Repetir la prueba de la muestra</v>
      </c>
      <c r="K59" s="19"/>
      <c r="L59" s="14"/>
      <c r="M59" s="14"/>
      <c r="N59" s="14"/>
      <c r="O59" s="14"/>
      <c r="P59" s="14"/>
      <c r="Q59" s="14"/>
      <c r="R59" s="14"/>
      <c r="S59" s="14"/>
      <c r="T59" s="14"/>
    </row>
    <row r="60" spans="2:20" x14ac:dyDescent="0.25">
      <c r="B60" s="175">
        <v>19</v>
      </c>
      <c r="C60" s="178" t="s">
        <v>32</v>
      </c>
      <c r="D60" s="179" t="e">
        <f t="shared" ref="D60:D65" si="15">IF($E$31="YES",I15,"Invalid test")</f>
        <v>#DIV/0!</v>
      </c>
      <c r="E60" s="179" t="e">
        <f t="shared" si="7"/>
        <v>#DIV/0!</v>
      </c>
      <c r="F60" s="69" t="s">
        <v>32</v>
      </c>
      <c r="G60" s="179" t="e">
        <f t="shared" ref="G60:G65" si="16">IF($E$31="YES",J15,"Invalid test")</f>
        <v>#DIV/0!</v>
      </c>
      <c r="H60" s="225" t="e">
        <f t="shared" si="8"/>
        <v>#DIV/0!</v>
      </c>
      <c r="I60" s="180" t="str">
        <f t="shared" si="9"/>
        <v>Not valid</v>
      </c>
      <c r="J60" s="176" t="str">
        <f t="shared" si="10"/>
        <v>Repetir la prueba de la muestra</v>
      </c>
      <c r="K60" s="19"/>
      <c r="L60" s="14"/>
      <c r="M60" s="14"/>
      <c r="N60" s="14"/>
      <c r="O60" s="14"/>
      <c r="P60" s="14"/>
      <c r="Q60" s="14"/>
      <c r="R60" s="14"/>
      <c r="S60" s="14"/>
      <c r="T60" s="14"/>
    </row>
    <row r="61" spans="2:20" x14ac:dyDescent="0.25">
      <c r="B61" s="175">
        <v>20</v>
      </c>
      <c r="C61" s="178" t="s">
        <v>33</v>
      </c>
      <c r="D61" s="179" t="e">
        <f t="shared" si="15"/>
        <v>#DIV/0!</v>
      </c>
      <c r="E61" s="179" t="e">
        <f t="shared" si="7"/>
        <v>#DIV/0!</v>
      </c>
      <c r="F61" s="69" t="s">
        <v>33</v>
      </c>
      <c r="G61" s="179" t="e">
        <f t="shared" si="16"/>
        <v>#DIV/0!</v>
      </c>
      <c r="H61" s="225" t="e">
        <f t="shared" si="8"/>
        <v>#DIV/0!</v>
      </c>
      <c r="I61" s="180" t="str">
        <f t="shared" si="9"/>
        <v>Not valid</v>
      </c>
      <c r="J61" s="176" t="str">
        <f t="shared" si="10"/>
        <v>Repetir la prueba de la muestra</v>
      </c>
      <c r="K61" s="19"/>
      <c r="L61" s="14"/>
      <c r="M61" s="14"/>
      <c r="N61" s="14"/>
      <c r="O61" s="14"/>
      <c r="P61" s="14"/>
      <c r="Q61" s="14"/>
      <c r="R61" s="14"/>
      <c r="S61" s="14"/>
      <c r="T61" s="14"/>
    </row>
    <row r="62" spans="2:20" x14ac:dyDescent="0.25">
      <c r="B62" s="175">
        <v>21</v>
      </c>
      <c r="C62" s="178" t="s">
        <v>34</v>
      </c>
      <c r="D62" s="179" t="e">
        <f t="shared" si="15"/>
        <v>#DIV/0!</v>
      </c>
      <c r="E62" s="179" t="e">
        <f t="shared" si="7"/>
        <v>#DIV/0!</v>
      </c>
      <c r="F62" s="69" t="s">
        <v>34</v>
      </c>
      <c r="G62" s="179" t="e">
        <f t="shared" si="16"/>
        <v>#DIV/0!</v>
      </c>
      <c r="H62" s="225" t="e">
        <f t="shared" si="8"/>
        <v>#DIV/0!</v>
      </c>
      <c r="I62" s="180" t="str">
        <f t="shared" si="9"/>
        <v>Not valid</v>
      </c>
      <c r="J62" s="176" t="str">
        <f t="shared" si="10"/>
        <v>Repetir la prueba de la muestra</v>
      </c>
      <c r="K62" s="19"/>
      <c r="L62" s="14"/>
      <c r="M62" s="14"/>
      <c r="N62" s="14"/>
      <c r="O62" s="14"/>
      <c r="P62" s="14"/>
      <c r="Q62" s="14"/>
      <c r="R62" s="14"/>
      <c r="S62" s="14"/>
      <c r="T62" s="14"/>
    </row>
    <row r="63" spans="2:20" x14ac:dyDescent="0.25">
      <c r="B63" s="175">
        <v>22</v>
      </c>
      <c r="C63" s="178" t="s">
        <v>35</v>
      </c>
      <c r="D63" s="179" t="e">
        <f t="shared" si="15"/>
        <v>#DIV/0!</v>
      </c>
      <c r="E63" s="179" t="e">
        <f t="shared" si="7"/>
        <v>#DIV/0!</v>
      </c>
      <c r="F63" s="69" t="s">
        <v>35</v>
      </c>
      <c r="G63" s="179" t="e">
        <f t="shared" si="16"/>
        <v>#DIV/0!</v>
      </c>
      <c r="H63" s="225" t="e">
        <f t="shared" si="8"/>
        <v>#DIV/0!</v>
      </c>
      <c r="I63" s="180" t="str">
        <f t="shared" si="9"/>
        <v>Not valid</v>
      </c>
      <c r="J63" s="176" t="str">
        <f t="shared" si="10"/>
        <v>Repetir la prueba de la muestra</v>
      </c>
      <c r="K63" s="19"/>
      <c r="L63" s="14"/>
      <c r="M63" s="14"/>
      <c r="N63" s="14"/>
      <c r="O63" s="14"/>
      <c r="P63" s="14"/>
      <c r="Q63" s="14"/>
      <c r="R63" s="14"/>
      <c r="S63" s="14"/>
      <c r="T63" s="14"/>
    </row>
    <row r="64" spans="2:20" x14ac:dyDescent="0.25">
      <c r="B64" s="175">
        <v>23</v>
      </c>
      <c r="C64" s="178" t="s">
        <v>36</v>
      </c>
      <c r="D64" s="179" t="e">
        <f t="shared" si="15"/>
        <v>#DIV/0!</v>
      </c>
      <c r="E64" s="179" t="e">
        <f t="shared" si="7"/>
        <v>#DIV/0!</v>
      </c>
      <c r="F64" s="69" t="s">
        <v>36</v>
      </c>
      <c r="G64" s="179" t="e">
        <f t="shared" si="16"/>
        <v>#DIV/0!</v>
      </c>
      <c r="H64" s="225" t="e">
        <f t="shared" si="8"/>
        <v>#DIV/0!</v>
      </c>
      <c r="I64" s="180" t="str">
        <f t="shared" si="9"/>
        <v>Not valid</v>
      </c>
      <c r="J64" s="176" t="str">
        <f t="shared" si="10"/>
        <v>Repetir la prueba de la muestra</v>
      </c>
      <c r="K64" s="19"/>
      <c r="L64" s="14"/>
      <c r="M64" s="14"/>
      <c r="N64" s="14"/>
      <c r="O64" s="14"/>
      <c r="P64" s="14"/>
      <c r="Q64" s="14"/>
      <c r="R64" s="14"/>
      <c r="S64" s="14"/>
      <c r="T64" s="14"/>
    </row>
    <row r="65" spans="2:20" x14ac:dyDescent="0.25">
      <c r="B65" s="175">
        <v>24</v>
      </c>
      <c r="C65" s="181" t="s">
        <v>106</v>
      </c>
      <c r="D65" s="182" t="e">
        <f t="shared" si="15"/>
        <v>#DIV/0!</v>
      </c>
      <c r="E65" s="182" t="e">
        <f t="shared" si="7"/>
        <v>#DIV/0!</v>
      </c>
      <c r="F65" s="183" t="s">
        <v>106</v>
      </c>
      <c r="G65" s="182" t="e">
        <f t="shared" si="16"/>
        <v>#DIV/0!</v>
      </c>
      <c r="H65" s="226" t="e">
        <f t="shared" si="8"/>
        <v>#DIV/0!</v>
      </c>
      <c r="I65" s="184" t="str">
        <f t="shared" si="9"/>
        <v>Not valid</v>
      </c>
      <c r="J65" s="177" t="str">
        <f t="shared" si="10"/>
        <v>Repetir la prueba de la muestra</v>
      </c>
      <c r="K65" s="19"/>
      <c r="L65" s="14"/>
      <c r="M65" s="14"/>
      <c r="N65" s="14"/>
      <c r="O65" s="14"/>
      <c r="P65" s="14"/>
      <c r="Q65" s="14"/>
      <c r="R65" s="14"/>
      <c r="S65" s="14"/>
      <c r="T65" s="14"/>
    </row>
    <row r="66" spans="2:20" x14ac:dyDescent="0.25">
      <c r="B66" s="19"/>
      <c r="C66" s="19"/>
      <c r="D66" s="19"/>
      <c r="E66" s="19"/>
      <c r="F66" s="19"/>
      <c r="G66" s="19"/>
      <c r="H66" s="19"/>
      <c r="I66" s="19"/>
      <c r="J66" s="19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2:20" x14ac:dyDescent="0.2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2:20" x14ac:dyDescent="0.2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ht="15" customHeight="1" x14ac:dyDescent="0.25">
      <c r="B69" s="253" t="s">
        <v>182</v>
      </c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14"/>
      <c r="N69" s="14"/>
      <c r="O69" s="14"/>
      <c r="P69" s="14"/>
      <c r="Q69" s="14"/>
      <c r="R69" s="14"/>
      <c r="S69" s="14"/>
      <c r="T69" s="14"/>
    </row>
    <row r="70" spans="2:20" x14ac:dyDescent="0.25"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14"/>
      <c r="N70" s="14"/>
      <c r="O70" s="14"/>
      <c r="P70" s="14"/>
      <c r="Q70" s="14"/>
      <c r="R70" s="14"/>
      <c r="S70" s="14"/>
      <c r="T70" s="14"/>
    </row>
    <row r="71" spans="2:20" x14ac:dyDescent="0.2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2:20" x14ac:dyDescent="0.2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2:20" x14ac:dyDescent="0.2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2:20" x14ac:dyDescent="0.2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2:20" x14ac:dyDescent="0.2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2:20" x14ac:dyDescent="0.2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2:20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2:20" x14ac:dyDescent="0.2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2:20" x14ac:dyDescent="0.2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2:20" x14ac:dyDescent="0.2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2:20" x14ac:dyDescent="0.2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2:20" x14ac:dyDescent="0.2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2:20" x14ac:dyDescent="0.2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2:20" x14ac:dyDescent="0.2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2:20" x14ac:dyDescent="0.2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2:20" x14ac:dyDescent="0.2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2:20" x14ac:dyDescent="0.2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2:20" x14ac:dyDescent="0.2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2:20" x14ac:dyDescent="0.2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2:20" x14ac:dyDescent="0.2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2:20" x14ac:dyDescent="0.2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2:20" x14ac:dyDescent="0.2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</row>
  </sheetData>
  <sheetProtection algorithmName="SHA-512" hashValue="hy2sgT7saQUQCs/7ezvK+NIu9GpXYlcpmn9vqlm+fhY8uhJr0e9sYAX9Dabv05S/YJsjlrpjTEpqTftJ9jKTIA==" saltValue="oT7QfqXZk2oKMk88oKhgfQ==" spinCount="100000" sheet="1" formatCells="0" formatColumns="0" formatRows="0" insertColumns="0" insertRows="0" insertHyperlinks="0" deleteColumns="0" deleteRows="0" sort="0" autoFilter="0" pivotTables="0"/>
  <mergeCells count="11">
    <mergeCell ref="N7:P7"/>
    <mergeCell ref="N4:P4"/>
    <mergeCell ref="N2:P2"/>
    <mergeCell ref="N5:P5"/>
    <mergeCell ref="B69:L70"/>
    <mergeCell ref="K30:M30"/>
    <mergeCell ref="K25:M25"/>
    <mergeCell ref="K26:M26"/>
    <mergeCell ref="K27:M27"/>
    <mergeCell ref="K28:M28"/>
    <mergeCell ref="K29:M29"/>
  </mergeCells>
  <phoneticPr fontId="25" type="noConversion"/>
  <conditionalFormatting sqref="E31:E35">
    <cfRule type="containsText" dxfId="5" priority="1" operator="containsText" text="No">
      <formula>NOT(ISERROR(SEARCH("No",E31)))</formula>
    </cfRule>
    <cfRule type="containsText" dxfId="4" priority="2" operator="containsText" text="Yes">
      <formula>NOT(ISERROR(SEARCH("Yes",E31)))</formula>
    </cfRule>
  </conditionalFormatting>
  <dataValidations count="1">
    <dataValidation type="list" allowBlank="1" showInputMessage="1" showErrorMessage="1" sqref="K30:M30" xr:uid="{A5FA30B3-F8AC-4189-9704-46B115D688DB}">
      <formula1>"Automatic 96-well, Automatic 12-well strip, Automatic 8-well strip, Manual"</formula1>
    </dataValidation>
  </dataValidation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Normal="100" workbookViewId="0">
      <selection activeCell="K9" sqref="K9"/>
    </sheetView>
  </sheetViews>
  <sheetFormatPr defaultColWidth="9.140625" defaultRowHeight="15" x14ac:dyDescent="0.25"/>
  <cols>
    <col min="1" max="1" width="20.7109375" style="14" customWidth="1"/>
    <col min="2" max="2" width="9.140625" style="14"/>
    <col min="3" max="3" width="18.28515625" style="14" customWidth="1"/>
    <col min="4" max="5" width="9.140625" style="14"/>
    <col min="6" max="6" width="27.28515625" style="14" customWidth="1"/>
    <col min="7" max="7" width="29.7109375" style="14" customWidth="1"/>
    <col min="8" max="8" width="23.7109375" style="14" customWidth="1"/>
    <col min="9" max="11" width="9.140625" style="14"/>
    <col min="12" max="12" width="26" style="14" customWidth="1"/>
    <col min="13" max="13" width="16" style="14" customWidth="1"/>
    <col min="14" max="16384" width="9.140625" style="14"/>
  </cols>
  <sheetData>
    <row r="1" spans="1:8" x14ac:dyDescent="0.25">
      <c r="A1" s="14" t="s">
        <v>39</v>
      </c>
      <c r="B1" s="14" t="s">
        <v>6</v>
      </c>
      <c r="C1" s="14" t="s">
        <v>43</v>
      </c>
      <c r="E1" s="14" t="s">
        <v>44</v>
      </c>
      <c r="F1" s="14" t="s">
        <v>48</v>
      </c>
      <c r="G1" s="14" t="s">
        <v>49</v>
      </c>
      <c r="H1" s="14" t="s">
        <v>67</v>
      </c>
    </row>
    <row r="2" spans="1:8" x14ac:dyDescent="0.25">
      <c r="A2" s="14" t="s">
        <v>14</v>
      </c>
      <c r="B2" s="14" t="e">
        <f>'YF MAC-HD'!K15</f>
        <v>#DIV/0!</v>
      </c>
      <c r="C2" s="14" t="e">
        <f>MAX(B2:B4)</f>
        <v>#DIV/0!</v>
      </c>
      <c r="D2" s="14" t="s">
        <v>45</v>
      </c>
      <c r="E2" s="14" t="e">
        <f>C2-C3</f>
        <v>#DIV/0!</v>
      </c>
      <c r="F2" s="14" t="e">
        <f>IF(E2&lt;0.3,(C2+C3)/2,0)</f>
        <v>#DIV/0!</v>
      </c>
      <c r="G2" s="14" t="e">
        <f>IF(AND(E2&lt;0.3,E3&lt;0.3),(B2+B3+B4)/3,0)</f>
        <v>#DIV/0!</v>
      </c>
      <c r="H2" s="14" t="e">
        <f>IF(G2&gt;0,G2,(MAX(F2:F3)))</f>
        <v>#DIV/0!</v>
      </c>
    </row>
    <row r="3" spans="1:8" x14ac:dyDescent="0.25">
      <c r="A3" s="14" t="s">
        <v>15</v>
      </c>
      <c r="B3" s="14" t="e">
        <f>'YF MAC-HD'!K16</f>
        <v>#DIV/0!</v>
      </c>
      <c r="C3" s="14" t="e">
        <f>MEDIAN(B2:B4)</f>
        <v>#DIV/0!</v>
      </c>
      <c r="D3" s="14" t="s">
        <v>46</v>
      </c>
      <c r="E3" s="14" t="e">
        <f>C3-C4</f>
        <v>#DIV/0!</v>
      </c>
      <c r="F3" s="14" t="e">
        <f>IF(E3&lt;0.3,(C3+C4)/2,0)</f>
        <v>#DIV/0!</v>
      </c>
    </row>
    <row r="4" spans="1:8" x14ac:dyDescent="0.25">
      <c r="A4" s="14" t="s">
        <v>96</v>
      </c>
      <c r="B4" s="14" t="e">
        <f>'YF MAC-HD'!K17</f>
        <v>#DIV/0!</v>
      </c>
      <c r="C4" s="14" t="e">
        <f>MIN(B2:B4)</f>
        <v>#DIV/0!</v>
      </c>
      <c r="D4" s="14" t="s">
        <v>47</v>
      </c>
    </row>
    <row r="5" spans="1:8" x14ac:dyDescent="0.25">
      <c r="A5" s="14" t="s">
        <v>7</v>
      </c>
      <c r="B5" s="14" t="s">
        <v>8</v>
      </c>
      <c r="F5" s="14" t="s">
        <v>50</v>
      </c>
      <c r="G5" s="14" t="e">
        <f>MIN(E2:E3)</f>
        <v>#DIV/0!</v>
      </c>
      <c r="H5" s="14" t="e">
        <f>IF(H2&gt;0,"Valid","Not valid")</f>
        <v>#DIV/0!</v>
      </c>
    </row>
    <row r="6" spans="1:8" x14ac:dyDescent="0.25">
      <c r="G6" s="14" t="e">
        <f>IF(G2&gt;0,G2,MAX(F2:F3))</f>
        <v>#DIV/0!</v>
      </c>
    </row>
    <row r="7" spans="1:8" x14ac:dyDescent="0.25">
      <c r="F7" s="14" t="s">
        <v>51</v>
      </c>
      <c r="G7" s="14" t="e">
        <f>IF(AND(ISNUMBER(G6),(G6&gt;0)),G6,"N/A")</f>
        <v>#DIV/0!</v>
      </c>
      <c r="H7" s="14" t="e">
        <f>IF(AND(ISNUMBER(G7),(G7&gt;=0.6)),"Valid","Not valid")</f>
        <v>#DIV/0!</v>
      </c>
    </row>
    <row r="8" spans="1:8" x14ac:dyDescent="0.25">
      <c r="F8" s="14" t="s">
        <v>63</v>
      </c>
      <c r="G8" s="14" t="str">
        <f>IF(ISNUMBER(G7),(ROUNDDOWN(G7,3)),"N/A")</f>
        <v>N/A</v>
      </c>
    </row>
    <row r="10" spans="1:8" x14ac:dyDescent="0.25">
      <c r="A10" s="14" t="s">
        <v>41</v>
      </c>
      <c r="B10" s="14" t="s">
        <v>6</v>
      </c>
      <c r="C10" s="14" t="s">
        <v>43</v>
      </c>
      <c r="E10" s="14" t="s">
        <v>44</v>
      </c>
      <c r="F10" s="14" t="s">
        <v>52</v>
      </c>
      <c r="G10" s="14" t="s">
        <v>49</v>
      </c>
      <c r="H10" s="14" t="s">
        <v>67</v>
      </c>
    </row>
    <row r="11" spans="1:8" x14ac:dyDescent="0.25">
      <c r="A11" s="14" t="s">
        <v>97</v>
      </c>
      <c r="B11" s="14" t="e">
        <f>'YF MAC-HD'!K18</f>
        <v>#DIV/0!</v>
      </c>
      <c r="C11" s="14" t="e">
        <f>MAX(B11:B13)</f>
        <v>#DIV/0!</v>
      </c>
      <c r="D11" s="14" t="s">
        <v>45</v>
      </c>
      <c r="E11" s="14" t="e">
        <f>C11-C12</f>
        <v>#DIV/0!</v>
      </c>
      <c r="F11" s="14" t="e">
        <f>IF(E11&lt;0.025,(C11+C12)/2,0)</f>
        <v>#DIV/0!</v>
      </c>
      <c r="G11" s="14" t="e">
        <f>IF(AND(E11&lt;0.025,E12&lt;0.025),(B11+B12+B13)/3,0)</f>
        <v>#DIV/0!</v>
      </c>
      <c r="H11" s="14" t="e">
        <f>IF(G11&gt;0,G11,(MAX(F11:F12)))</f>
        <v>#DIV/0!</v>
      </c>
    </row>
    <row r="12" spans="1:8" x14ac:dyDescent="0.25">
      <c r="A12" s="14" t="s">
        <v>98</v>
      </c>
      <c r="B12" s="14" t="e">
        <f>'YF MAC-HD'!K19</f>
        <v>#DIV/0!</v>
      </c>
      <c r="C12" s="14" t="e">
        <f>MEDIAN(B11:B13)</f>
        <v>#DIV/0!</v>
      </c>
      <c r="D12" s="14" t="s">
        <v>46</v>
      </c>
      <c r="E12" s="14" t="e">
        <f>C12-C13</f>
        <v>#DIV/0!</v>
      </c>
      <c r="F12" s="14" t="e">
        <f>IF(E12&lt;0.025,(C12+C13)/2,0)</f>
        <v>#DIV/0!</v>
      </c>
    </row>
    <row r="13" spans="1:8" x14ac:dyDescent="0.25">
      <c r="A13" s="14" t="s">
        <v>99</v>
      </c>
      <c r="B13" s="14" t="e">
        <f>'YF MAC-HD'!K20</f>
        <v>#DIV/0!</v>
      </c>
      <c r="C13" s="14" t="e">
        <f>MIN(B11:B13)</f>
        <v>#DIV/0!</v>
      </c>
      <c r="D13" s="14" t="s">
        <v>47</v>
      </c>
    </row>
    <row r="14" spans="1:8" x14ac:dyDescent="0.25">
      <c r="A14" s="14" t="s">
        <v>7</v>
      </c>
      <c r="B14" s="14" t="s">
        <v>8</v>
      </c>
      <c r="F14" s="14" t="s">
        <v>53</v>
      </c>
      <c r="G14" s="14" t="e">
        <f>MIN(E11:E12)</f>
        <v>#DIV/0!</v>
      </c>
      <c r="H14" s="14" t="e">
        <f>IF(H11&gt;0,"Valid","&gt;NCVA-VL")</f>
        <v>#DIV/0!</v>
      </c>
    </row>
    <row r="15" spans="1:8" x14ac:dyDescent="0.25">
      <c r="G15" s="14" t="e">
        <f>IF(G11&gt;0,G11,MAX(F11:F12))</f>
        <v>#DIV/0!</v>
      </c>
    </row>
    <row r="16" spans="1:8" x14ac:dyDescent="0.25">
      <c r="F16" s="14" t="s">
        <v>66</v>
      </c>
      <c r="G16" s="14" t="e">
        <f>IF(G15=0,"N/A",G15)</f>
        <v>#DIV/0!</v>
      </c>
      <c r="H16" s="14" t="e">
        <f>IF(AND(ISNUMBER(G16),(G16&lt;0.2)),"Valid","Not Valid")</f>
        <v>#DIV/0!</v>
      </c>
    </row>
    <row r="17" spans="1:9" x14ac:dyDescent="0.25">
      <c r="F17" s="14" t="s">
        <v>54</v>
      </c>
      <c r="G17" s="14" t="e">
        <f>IF(G15&gt;=0.05,G15,0.05)</f>
        <v>#DIV/0!</v>
      </c>
      <c r="H17" s="14" t="e">
        <f>IF(G16=G17,"Valid",H16)</f>
        <v>#DIV/0!</v>
      </c>
    </row>
    <row r="18" spans="1:9" x14ac:dyDescent="0.25">
      <c r="F18" s="14" t="s">
        <v>60</v>
      </c>
      <c r="G18" s="14" t="e">
        <f>IF(G16="N/A","N/A",G17)</f>
        <v>#DIV/0!</v>
      </c>
    </row>
    <row r="20" spans="1:9" x14ac:dyDescent="0.25">
      <c r="A20" s="14" t="s">
        <v>57</v>
      </c>
      <c r="B20" s="14" t="s">
        <v>6</v>
      </c>
      <c r="C20" s="14" t="s">
        <v>43</v>
      </c>
      <c r="E20" s="14" t="s">
        <v>44</v>
      </c>
      <c r="F20" s="14" t="s">
        <v>48</v>
      </c>
      <c r="G20" s="14" t="s">
        <v>49</v>
      </c>
      <c r="H20" s="14" t="s">
        <v>67</v>
      </c>
      <c r="I20" s="14" t="s">
        <v>61</v>
      </c>
    </row>
    <row r="21" spans="1:9" x14ac:dyDescent="0.25">
      <c r="A21" s="14" t="s">
        <v>100</v>
      </c>
      <c r="B21" s="14" t="e">
        <f>'YF MAC-HD'!L15</f>
        <v>#DIV/0!</v>
      </c>
      <c r="C21" s="14" t="e">
        <f>MAX(B21:B23)</f>
        <v>#DIV/0!</v>
      </c>
      <c r="D21" s="14" t="s">
        <v>45</v>
      </c>
      <c r="E21" s="14" t="e">
        <f>C21-C22</f>
        <v>#DIV/0!</v>
      </c>
      <c r="F21" s="14" t="e">
        <f>IF(E21&lt;0.3,AVERAGE(C21:C22),0)</f>
        <v>#DIV/0!</v>
      </c>
      <c r="G21" s="14" t="e">
        <f>IF(AND(E21:E22&lt;0.3),AVERAGE(B21:B23),0)</f>
        <v>#DIV/0!</v>
      </c>
      <c r="H21" s="14" t="e">
        <f>IF(G21&gt;0,G21,(MAX(F21:F22)))</f>
        <v>#DIV/0!</v>
      </c>
      <c r="I21" s="14" t="e">
        <f>IF(AND(F21,F22),0,(B21+B22+B23)/3)</f>
        <v>#DIV/0!</v>
      </c>
    </row>
    <row r="22" spans="1:9" x14ac:dyDescent="0.25">
      <c r="A22" s="14" t="s">
        <v>101</v>
      </c>
      <c r="B22" s="14" t="e">
        <f>'YF MAC-HD'!L16</f>
        <v>#DIV/0!</v>
      </c>
      <c r="C22" s="14" t="e">
        <f>MEDIAN(B21:B23)</f>
        <v>#DIV/0!</v>
      </c>
      <c r="D22" s="14" t="s">
        <v>46</v>
      </c>
      <c r="E22" s="14" t="e">
        <f>C22-C23</f>
        <v>#DIV/0!</v>
      </c>
      <c r="F22" s="14" t="e">
        <f>IF(E22&lt;0.3,AVERAGE(C22:C23),0)</f>
        <v>#DIV/0!</v>
      </c>
    </row>
    <row r="23" spans="1:9" x14ac:dyDescent="0.25">
      <c r="A23" s="14" t="s">
        <v>102</v>
      </c>
      <c r="B23" s="14" t="e">
        <f>'YF MAC-HD'!L17</f>
        <v>#DIV/0!</v>
      </c>
      <c r="C23" s="14" t="e">
        <f>MIN(B21:B23)</f>
        <v>#DIV/0!</v>
      </c>
      <c r="D23" s="14" t="s">
        <v>47</v>
      </c>
    </row>
    <row r="24" spans="1:9" x14ac:dyDescent="0.25">
      <c r="A24" s="14" t="s">
        <v>7</v>
      </c>
      <c r="B24" s="14" t="s">
        <v>8</v>
      </c>
      <c r="F24" s="14" t="s">
        <v>56</v>
      </c>
      <c r="G24" s="14" t="e">
        <f>MIN(E21:E22)</f>
        <v>#DIV/0!</v>
      </c>
    </row>
    <row r="25" spans="1:9" x14ac:dyDescent="0.25">
      <c r="G25" s="14" t="e">
        <f>IF(G21&gt;0,G21,(MAX(F21:F22)))</f>
        <v>#DIV/0!</v>
      </c>
    </row>
    <row r="26" spans="1:9" x14ac:dyDescent="0.25">
      <c r="G26" s="14" t="e">
        <f>IF(G21&gt;0,G21,H21)</f>
        <v>#DIV/0!</v>
      </c>
    </row>
    <row r="27" spans="1:9" x14ac:dyDescent="0.25">
      <c r="F27" s="14" t="s">
        <v>55</v>
      </c>
      <c r="G27" s="14" t="e">
        <f>IF(G26&gt;0,G26,I21)</f>
        <v>#DIV/0!</v>
      </c>
    </row>
  </sheetData>
  <sheetProtection selectLockedCells="1" selectUnlockedCells="1"/>
  <pageMargins left="0.7" right="0.7" top="0.75" bottom="0.75" header="0.3" footer="0.3"/>
  <pageSetup scale="4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0978D-C2F6-4FE1-A883-FAB481C27099}">
  <dimension ref="A2:A65"/>
  <sheetViews>
    <sheetView workbookViewId="0">
      <selection activeCell="W11" sqref="W11"/>
    </sheetView>
  </sheetViews>
  <sheetFormatPr defaultRowHeight="15" x14ac:dyDescent="0.25"/>
  <cols>
    <col min="2" max="2" width="35.7109375" customWidth="1"/>
    <col min="3" max="3" width="9.42578125" customWidth="1"/>
    <col min="5" max="5" width="7.85546875" customWidth="1"/>
    <col min="6" max="6" width="7.5703125" customWidth="1"/>
    <col min="7" max="7" width="7" customWidth="1"/>
    <col min="8" max="8" width="7.42578125" customWidth="1"/>
    <col min="9" max="9" width="10.7109375" customWidth="1"/>
    <col min="10" max="10" width="32.42578125" customWidth="1"/>
    <col min="11" max="11" width="7.42578125" customWidth="1"/>
    <col min="12" max="12" width="7.85546875" customWidth="1"/>
    <col min="13" max="13" width="6.7109375" customWidth="1"/>
    <col min="15" max="15" width="9.42578125" customWidth="1"/>
  </cols>
  <sheetData>
    <row r="2" ht="15.75" customHeight="1" x14ac:dyDescent="0.25"/>
    <row r="9" ht="16.5" customHeight="1" x14ac:dyDescent="0.25"/>
    <row r="10" ht="16.5" customHeight="1" x14ac:dyDescent="0.25"/>
    <row r="11" ht="30.75" customHeight="1" x14ac:dyDescent="0.25"/>
    <row r="12" ht="15" customHeight="1" x14ac:dyDescent="0.25"/>
    <row r="13" ht="15.75" customHeight="1" x14ac:dyDescent="0.25"/>
    <row r="14" ht="14.25" customHeight="1" x14ac:dyDescent="0.25"/>
    <row r="15" ht="15.75" customHeight="1" x14ac:dyDescent="0.25"/>
    <row r="21" ht="15.75" customHeight="1" x14ac:dyDescent="0.25"/>
    <row r="22" ht="15.75" customHeight="1" x14ac:dyDescent="0.25"/>
    <row r="23" ht="24.75" customHeight="1" x14ac:dyDescent="0.25"/>
    <row r="24" ht="15" customHeight="1" x14ac:dyDescent="0.25"/>
    <row r="25" ht="15.75" customHeight="1" x14ac:dyDescent="0.25"/>
    <row r="26" ht="16.5" customHeight="1" x14ac:dyDescent="0.25"/>
    <row r="27" ht="17.25" customHeight="1" x14ac:dyDescent="0.25"/>
    <row r="28" ht="16.5" customHeight="1" x14ac:dyDescent="0.25"/>
    <row r="29" ht="15.75" customHeight="1" x14ac:dyDescent="0.25"/>
    <row r="30" ht="15" customHeight="1" x14ac:dyDescent="0.25"/>
    <row r="31" ht="19.5" customHeight="1" x14ac:dyDescent="0.25"/>
    <row r="32" ht="15.75" customHeight="1" x14ac:dyDescent="0.25"/>
    <row r="33" ht="15" customHeight="1" x14ac:dyDescent="0.25"/>
    <row r="34" ht="40.5" customHeight="1" x14ac:dyDescent="0.25"/>
    <row r="35" ht="19.5" customHeight="1" x14ac:dyDescent="0.25"/>
    <row r="36" ht="18.75" customHeight="1" x14ac:dyDescent="0.25"/>
    <row r="37" ht="18.75" customHeight="1" x14ac:dyDescent="0.25"/>
    <row r="38" ht="17.25" customHeight="1" x14ac:dyDescent="0.25"/>
    <row r="39" ht="15.75" customHeight="1" x14ac:dyDescent="0.25"/>
    <row r="40" ht="21" customHeight="1" x14ac:dyDescent="0.25"/>
    <row r="41" ht="45.75" customHeight="1" x14ac:dyDescent="0.25"/>
    <row r="42" ht="15.75" customHeight="1" x14ac:dyDescent="0.25"/>
    <row r="49" ht="15" customHeight="1" x14ac:dyDescent="0.25"/>
    <row r="59" ht="15" customHeight="1" x14ac:dyDescent="0.25"/>
    <row r="60" ht="14.25" customHeight="1" x14ac:dyDescent="0.25"/>
    <row r="62" ht="14.25" customHeight="1" x14ac:dyDescent="0.25"/>
    <row r="63" ht="15" customHeight="1" x14ac:dyDescent="0.25"/>
    <row r="64" ht="15.75" customHeight="1" x14ac:dyDescent="0.25"/>
    <row r="65" ht="15" customHeight="1" x14ac:dyDescent="0.25"/>
  </sheetData>
  <sheetProtection selectLockedCells="1" selectUnlockedCells="1"/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T128"/>
  <sheetViews>
    <sheetView zoomScaleNormal="100" workbookViewId="0">
      <selection activeCell="M54" sqref="M54"/>
    </sheetView>
  </sheetViews>
  <sheetFormatPr defaultColWidth="9.140625" defaultRowHeight="15" x14ac:dyDescent="0.25"/>
  <cols>
    <col min="1" max="1" width="9.140625" style="1"/>
    <col min="2" max="2" width="39.5703125" style="2" customWidth="1"/>
    <col min="3" max="3" width="10" style="2" customWidth="1"/>
    <col min="4" max="4" width="11.42578125" style="2" customWidth="1"/>
    <col min="5" max="5" width="12" style="2" customWidth="1"/>
    <col min="6" max="6" width="9.5703125" style="2" bestFit="1" customWidth="1"/>
    <col min="7" max="7" width="10.85546875" style="2" customWidth="1"/>
    <col min="8" max="8" width="10.140625" style="2" customWidth="1"/>
    <col min="9" max="9" width="11.140625" style="2" customWidth="1"/>
    <col min="10" max="10" width="26.140625" style="2" customWidth="1"/>
    <col min="11" max="11" width="11.140625" style="2" customWidth="1"/>
    <col min="12" max="12" width="29.28515625" style="2" bestFit="1" customWidth="1"/>
    <col min="13" max="13" width="12.28515625" style="2" customWidth="1"/>
    <col min="14" max="14" width="11" style="2" customWidth="1"/>
    <col min="15" max="15" width="19.85546875" style="2" customWidth="1"/>
    <col min="16" max="16" width="9.140625" style="2" customWidth="1"/>
    <col min="17" max="16384" width="9.140625" style="2"/>
  </cols>
  <sheetData>
    <row r="1" spans="1:20" s="1" customFormat="1" ht="15.75" thickBot="1" x14ac:dyDescent="0.3">
      <c r="B1" s="208">
        <v>1</v>
      </c>
      <c r="C1" s="208">
        <v>2</v>
      </c>
      <c r="D1" s="208">
        <v>3</v>
      </c>
      <c r="E1" s="208">
        <v>4</v>
      </c>
      <c r="F1" s="208">
        <v>5</v>
      </c>
      <c r="G1" s="208">
        <v>6</v>
      </c>
      <c r="H1" s="208">
        <v>7</v>
      </c>
      <c r="I1" s="208">
        <v>8</v>
      </c>
      <c r="J1" s="208">
        <v>9</v>
      </c>
      <c r="K1" s="208">
        <v>10</v>
      </c>
      <c r="L1" s="208">
        <v>11</v>
      </c>
      <c r="M1" s="208">
        <v>12</v>
      </c>
    </row>
    <row r="2" spans="1:20" ht="15.75" thickTop="1" x14ac:dyDescent="0.25">
      <c r="A2" s="209" t="s">
        <v>88</v>
      </c>
      <c r="B2" s="191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3"/>
      <c r="N2" s="251" t="s">
        <v>145</v>
      </c>
      <c r="O2" s="252"/>
      <c r="P2" s="252"/>
      <c r="Q2" s="1"/>
      <c r="R2" s="1"/>
      <c r="S2" s="1"/>
      <c r="T2" s="1"/>
    </row>
    <row r="3" spans="1:20" x14ac:dyDescent="0.25">
      <c r="A3" s="209" t="s">
        <v>89</v>
      </c>
      <c r="B3" s="194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6"/>
      <c r="N3" s="214" t="s">
        <v>146</v>
      </c>
      <c r="O3" s="214"/>
      <c r="P3" s="214"/>
      <c r="Q3" s="1"/>
      <c r="R3" s="1"/>
      <c r="S3" s="1"/>
      <c r="T3" s="1"/>
    </row>
    <row r="4" spans="1:20" x14ac:dyDescent="0.25">
      <c r="A4" s="209" t="s">
        <v>90</v>
      </c>
      <c r="B4" s="194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6"/>
      <c r="N4" s="251" t="s">
        <v>147</v>
      </c>
      <c r="O4" s="252"/>
      <c r="P4" s="252"/>
      <c r="Q4" s="1"/>
      <c r="R4" s="1"/>
      <c r="S4" s="1"/>
      <c r="T4" s="1"/>
    </row>
    <row r="5" spans="1:20" x14ac:dyDescent="0.25">
      <c r="A5" s="209" t="s">
        <v>91</v>
      </c>
      <c r="B5" s="194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6"/>
      <c r="N5" s="251" t="s">
        <v>150</v>
      </c>
      <c r="O5" s="252"/>
      <c r="P5" s="252"/>
      <c r="Q5" s="1"/>
      <c r="R5" s="1"/>
      <c r="S5" s="1"/>
      <c r="T5" s="1"/>
    </row>
    <row r="6" spans="1:20" x14ac:dyDescent="0.25">
      <c r="A6" s="209" t="s">
        <v>92</v>
      </c>
      <c r="B6" s="194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6"/>
      <c r="N6" s="210" t="s">
        <v>151</v>
      </c>
      <c r="O6" s="211"/>
      <c r="P6" s="211"/>
      <c r="Q6" s="1"/>
      <c r="R6" s="1"/>
      <c r="S6" s="1"/>
      <c r="T6" s="1"/>
    </row>
    <row r="7" spans="1:20" x14ac:dyDescent="0.25">
      <c r="A7" s="209" t="s">
        <v>93</v>
      </c>
      <c r="B7" s="194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6"/>
      <c r="N7" s="251" t="s">
        <v>148</v>
      </c>
      <c r="O7" s="252"/>
      <c r="P7" s="252"/>
      <c r="Q7" s="1"/>
      <c r="R7" s="1"/>
      <c r="S7" s="1"/>
      <c r="T7" s="1"/>
    </row>
    <row r="8" spans="1:20" x14ac:dyDescent="0.25">
      <c r="A8" s="209" t="s">
        <v>94</v>
      </c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6"/>
      <c r="N8" s="214"/>
      <c r="O8" s="214"/>
      <c r="P8" s="214"/>
      <c r="Q8" s="1"/>
      <c r="R8" s="1"/>
      <c r="S8" s="1"/>
      <c r="T8" s="1"/>
    </row>
    <row r="9" spans="1:20" ht="15.75" thickBot="1" x14ac:dyDescent="0.3">
      <c r="A9" s="209" t="s">
        <v>95</v>
      </c>
      <c r="B9" s="197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9"/>
      <c r="N9" s="214"/>
      <c r="O9" s="214"/>
      <c r="P9" s="214"/>
      <c r="Q9" s="1"/>
      <c r="R9" s="1"/>
      <c r="S9" s="1"/>
      <c r="T9" s="1"/>
    </row>
    <row r="10" spans="1:20" ht="16.5" thickTop="1" thickBot="1" x14ac:dyDescent="0.3">
      <c r="B10" s="1"/>
      <c r="C10" s="4"/>
      <c r="D10" s="7"/>
      <c r="E10" s="7"/>
      <c r="F10" s="4"/>
      <c r="G10" s="4"/>
      <c r="H10" s="4"/>
      <c r="I10" s="7"/>
      <c r="J10" s="7"/>
      <c r="K10" s="4"/>
      <c r="L10" s="7"/>
      <c r="M10" s="7"/>
      <c r="N10" s="7"/>
      <c r="O10" s="4"/>
      <c r="P10" s="1"/>
      <c r="Q10" s="1"/>
      <c r="R10" s="1"/>
      <c r="S10" s="1"/>
      <c r="T10" s="1"/>
    </row>
    <row r="11" spans="1:20" ht="30.75" thickBot="1" x14ac:dyDescent="0.3">
      <c r="B11" s="222" t="s">
        <v>207</v>
      </c>
      <c r="C11" s="130" t="e">
        <f>AVERAGE(B2:B5)</f>
        <v>#DIV/0!</v>
      </c>
      <c r="D11" s="1"/>
      <c r="E11" s="1"/>
      <c r="F11" s="1"/>
      <c r="G11" s="1"/>
      <c r="H11" s="1"/>
      <c r="I11" s="1"/>
      <c r="J11" s="1"/>
      <c r="K11" s="5"/>
      <c r="L11" s="1"/>
      <c r="M11" s="1"/>
      <c r="N11" s="1"/>
      <c r="O11" s="7"/>
      <c r="P11" s="1"/>
      <c r="Q11" s="1"/>
      <c r="R11" s="1"/>
      <c r="S11" s="1"/>
      <c r="T11" s="1"/>
    </row>
    <row r="12" spans="1:20" x14ac:dyDescent="0.25">
      <c r="B12" s="1"/>
      <c r="C12" s="1"/>
      <c r="D12" s="1"/>
      <c r="E12" s="1"/>
      <c r="F12" s="1"/>
      <c r="G12" s="1"/>
      <c r="H12" s="1"/>
      <c r="I12" s="1"/>
      <c r="J12" s="1"/>
      <c r="K12" s="5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thickBot="1" x14ac:dyDescent="0.3">
      <c r="B13" s="3" t="s">
        <v>163</v>
      </c>
      <c r="C13" s="1"/>
      <c r="D13" s="1"/>
      <c r="E13" s="1"/>
      <c r="F13" s="1"/>
      <c r="G13" s="1"/>
      <c r="H13" s="1"/>
      <c r="I13" s="1"/>
      <c r="J13" s="1"/>
      <c r="K13" s="5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B14" s="6" t="s">
        <v>204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41"/>
      <c r="O14" s="1"/>
      <c r="P14" s="1"/>
      <c r="Q14" s="1"/>
      <c r="R14" s="1"/>
      <c r="S14" s="1"/>
      <c r="T14" s="1"/>
    </row>
    <row r="15" spans="1:20" x14ac:dyDescent="0.25">
      <c r="B15" s="223" t="s">
        <v>204</v>
      </c>
      <c r="C15" s="200" t="e">
        <f t="shared" ref="C15:L20" si="0">C3-$C$11</f>
        <v>#DIV/0!</v>
      </c>
      <c r="D15" s="200" t="e">
        <f t="shared" si="0"/>
        <v>#DIV/0!</v>
      </c>
      <c r="E15" s="200" t="e">
        <f t="shared" si="0"/>
        <v>#DIV/0!</v>
      </c>
      <c r="F15" s="200" t="e">
        <f t="shared" si="0"/>
        <v>#DIV/0!</v>
      </c>
      <c r="G15" s="200" t="e">
        <f t="shared" si="0"/>
        <v>#DIV/0!</v>
      </c>
      <c r="H15" s="200" t="e">
        <f t="shared" si="0"/>
        <v>#DIV/0!</v>
      </c>
      <c r="I15" s="200" t="e">
        <f t="shared" si="0"/>
        <v>#DIV/0!</v>
      </c>
      <c r="J15" s="200" t="e">
        <f t="shared" si="0"/>
        <v>#DIV/0!</v>
      </c>
      <c r="K15" s="188" t="e">
        <f t="shared" si="0"/>
        <v>#DIV/0!</v>
      </c>
      <c r="L15" s="189" t="e">
        <f t="shared" si="0"/>
        <v>#DIV/0!</v>
      </c>
      <c r="M15" s="13"/>
      <c r="N15" s="41"/>
      <c r="O15" s="1"/>
      <c r="P15" s="1"/>
      <c r="Q15" s="7"/>
      <c r="R15" s="1"/>
      <c r="S15" s="1"/>
      <c r="T15" s="1"/>
    </row>
    <row r="16" spans="1:20" x14ac:dyDescent="0.25">
      <c r="B16" s="223" t="s">
        <v>204</v>
      </c>
      <c r="C16" s="200" t="e">
        <f t="shared" si="0"/>
        <v>#DIV/0!</v>
      </c>
      <c r="D16" s="200" t="e">
        <f>D4-$C$11</f>
        <v>#DIV/0!</v>
      </c>
      <c r="E16" s="200" t="e">
        <f t="shared" si="0"/>
        <v>#DIV/0!</v>
      </c>
      <c r="F16" s="200" t="e">
        <f t="shared" si="0"/>
        <v>#DIV/0!</v>
      </c>
      <c r="G16" s="200" t="e">
        <f t="shared" si="0"/>
        <v>#DIV/0!</v>
      </c>
      <c r="H16" s="200" t="e">
        <f t="shared" si="0"/>
        <v>#DIV/0!</v>
      </c>
      <c r="I16" s="200" t="e">
        <f t="shared" si="0"/>
        <v>#DIV/0!</v>
      </c>
      <c r="J16" s="200" t="e">
        <f t="shared" si="0"/>
        <v>#DIV/0!</v>
      </c>
      <c r="K16" s="188" t="e">
        <f t="shared" ref="K16" si="1">K4-$C$11</f>
        <v>#DIV/0!</v>
      </c>
      <c r="L16" s="189" t="e">
        <f t="shared" si="0"/>
        <v>#DIV/0!</v>
      </c>
      <c r="M16" s="13"/>
      <c r="N16" s="41"/>
      <c r="O16" s="1"/>
      <c r="P16" s="1"/>
      <c r="Q16" s="1"/>
      <c r="R16" s="1"/>
      <c r="S16" s="1"/>
      <c r="T16" s="1"/>
    </row>
    <row r="17" spans="2:20" x14ac:dyDescent="0.25">
      <c r="B17" s="223" t="s">
        <v>204</v>
      </c>
      <c r="C17" s="200" t="e">
        <f t="shared" si="0"/>
        <v>#DIV/0!</v>
      </c>
      <c r="D17" s="200" t="e">
        <f>D5-$C$11</f>
        <v>#DIV/0!</v>
      </c>
      <c r="E17" s="200" t="e">
        <f t="shared" si="0"/>
        <v>#DIV/0!</v>
      </c>
      <c r="F17" s="200" t="e">
        <f t="shared" si="0"/>
        <v>#DIV/0!</v>
      </c>
      <c r="G17" s="200" t="e">
        <f t="shared" si="0"/>
        <v>#DIV/0!</v>
      </c>
      <c r="H17" s="200" t="e">
        <f t="shared" si="0"/>
        <v>#DIV/0!</v>
      </c>
      <c r="I17" s="200" t="e">
        <f t="shared" si="0"/>
        <v>#DIV/0!</v>
      </c>
      <c r="J17" s="200" t="e">
        <f t="shared" si="0"/>
        <v>#DIV/0!</v>
      </c>
      <c r="K17" s="188" t="e">
        <f t="shared" ref="K17" si="2">K5-$C$11</f>
        <v>#DIV/0!</v>
      </c>
      <c r="L17" s="189" t="e">
        <f t="shared" si="0"/>
        <v>#DIV/0!</v>
      </c>
      <c r="M17" s="13"/>
      <c r="N17" s="41"/>
      <c r="O17" s="1"/>
      <c r="P17" s="1"/>
      <c r="Q17" s="1"/>
      <c r="R17" s="1"/>
      <c r="S17" s="1"/>
      <c r="T17" s="1"/>
    </row>
    <row r="18" spans="2:20" x14ac:dyDescent="0.25">
      <c r="B18" s="9"/>
      <c r="C18" s="200" t="e">
        <f t="shared" si="0"/>
        <v>#DIV/0!</v>
      </c>
      <c r="D18" s="200" t="e">
        <f t="shared" si="0"/>
        <v>#DIV/0!</v>
      </c>
      <c r="E18" s="200" t="e">
        <f t="shared" si="0"/>
        <v>#DIV/0!</v>
      </c>
      <c r="F18" s="200" t="e">
        <f t="shared" si="0"/>
        <v>#DIV/0!</v>
      </c>
      <c r="G18" s="200" t="e">
        <f t="shared" si="0"/>
        <v>#DIV/0!</v>
      </c>
      <c r="H18" s="200" t="e">
        <f t="shared" si="0"/>
        <v>#DIV/0!</v>
      </c>
      <c r="I18" s="200" t="e">
        <f t="shared" si="0"/>
        <v>#DIV/0!</v>
      </c>
      <c r="J18" s="200" t="e">
        <f t="shared" si="0"/>
        <v>#DIV/0!</v>
      </c>
      <c r="K18" s="190" t="e">
        <f t="shared" ref="K18" si="3">K6-$C$11</f>
        <v>#DIV/0!</v>
      </c>
      <c r="L18" s="200" t="e">
        <f t="shared" si="0"/>
        <v>#DIV/0!</v>
      </c>
      <c r="M18" s="13"/>
      <c r="N18" s="41"/>
      <c r="O18" s="1"/>
      <c r="P18" s="1"/>
      <c r="Q18" s="1"/>
      <c r="R18" s="1"/>
      <c r="S18" s="1"/>
      <c r="T18" s="1"/>
    </row>
    <row r="19" spans="2:20" x14ac:dyDescent="0.25">
      <c r="B19" s="9"/>
      <c r="C19" s="200" t="e">
        <f t="shared" si="0"/>
        <v>#DIV/0!</v>
      </c>
      <c r="D19" s="200" t="e">
        <f t="shared" si="0"/>
        <v>#DIV/0!</v>
      </c>
      <c r="E19" s="200" t="e">
        <f t="shared" si="0"/>
        <v>#DIV/0!</v>
      </c>
      <c r="F19" s="200" t="e">
        <f t="shared" si="0"/>
        <v>#DIV/0!</v>
      </c>
      <c r="G19" s="200" t="e">
        <f t="shared" si="0"/>
        <v>#DIV/0!</v>
      </c>
      <c r="H19" s="200" t="e">
        <f t="shared" si="0"/>
        <v>#DIV/0!</v>
      </c>
      <c r="I19" s="200" t="e">
        <f t="shared" si="0"/>
        <v>#DIV/0!</v>
      </c>
      <c r="J19" s="200" t="e">
        <f t="shared" si="0"/>
        <v>#DIV/0!</v>
      </c>
      <c r="K19" s="190" t="e">
        <f t="shared" ref="K19" si="4">K7-$C$11</f>
        <v>#DIV/0!</v>
      </c>
      <c r="L19" s="200" t="e">
        <f t="shared" si="0"/>
        <v>#DIV/0!</v>
      </c>
      <c r="M19" s="13"/>
      <c r="N19" s="41"/>
      <c r="O19" s="1"/>
      <c r="P19" s="1"/>
      <c r="Q19" s="1"/>
      <c r="R19" s="1"/>
      <c r="S19" s="1"/>
      <c r="T19" s="1"/>
    </row>
    <row r="20" spans="2:20" x14ac:dyDescent="0.25">
      <c r="B20" s="9"/>
      <c r="C20" s="200" t="e">
        <f t="shared" si="0"/>
        <v>#DIV/0!</v>
      </c>
      <c r="D20" s="200" t="e">
        <f t="shared" si="0"/>
        <v>#DIV/0!</v>
      </c>
      <c r="E20" s="200" t="e">
        <f t="shared" si="0"/>
        <v>#DIV/0!</v>
      </c>
      <c r="F20" s="200" t="e">
        <f t="shared" si="0"/>
        <v>#DIV/0!</v>
      </c>
      <c r="G20" s="200" t="e">
        <f t="shared" si="0"/>
        <v>#DIV/0!</v>
      </c>
      <c r="H20" s="200" t="e">
        <f t="shared" si="0"/>
        <v>#DIV/0!</v>
      </c>
      <c r="I20" s="200" t="e">
        <f t="shared" si="0"/>
        <v>#DIV/0!</v>
      </c>
      <c r="J20" s="200" t="e">
        <f t="shared" si="0"/>
        <v>#DIV/0!</v>
      </c>
      <c r="K20" s="190" t="e">
        <f t="shared" ref="K20" si="5">K8-$C$11</f>
        <v>#DIV/0!</v>
      </c>
      <c r="L20" s="200" t="e">
        <f t="shared" si="0"/>
        <v>#DIV/0!</v>
      </c>
      <c r="M20" s="13"/>
      <c r="N20" s="41"/>
      <c r="O20" s="1"/>
      <c r="P20" s="1"/>
      <c r="Q20" s="1"/>
      <c r="R20" s="1"/>
      <c r="S20" s="1"/>
      <c r="T20" s="1"/>
    </row>
    <row r="21" spans="2:20" ht="15.75" thickBot="1" x14ac:dyDescent="0.3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41"/>
      <c r="O21" s="1"/>
      <c r="P21" s="1"/>
      <c r="Q21" s="1"/>
      <c r="R21" s="1"/>
      <c r="S21" s="1"/>
      <c r="T21" s="1"/>
    </row>
    <row r="22" spans="2:20" ht="15.75" thickBot="1" x14ac:dyDescent="0.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ht="24.75" thickTop="1" thickBot="1" x14ac:dyDescent="0.3">
      <c r="B23" s="42" t="s">
        <v>12</v>
      </c>
      <c r="C23" s="31" t="s">
        <v>164</v>
      </c>
      <c r="D23" s="31" t="s">
        <v>165</v>
      </c>
      <c r="E23" s="32" t="s">
        <v>166</v>
      </c>
      <c r="F23" s="1"/>
      <c r="G23" s="1"/>
      <c r="H23" s="1"/>
      <c r="I23" s="1"/>
      <c r="J23" s="70" t="s">
        <v>194</v>
      </c>
      <c r="K23" s="14"/>
      <c r="L23" s="14"/>
      <c r="M23" s="14"/>
      <c r="N23" s="1"/>
      <c r="O23" s="1"/>
      <c r="P23" s="1"/>
      <c r="Q23" s="1"/>
      <c r="R23" s="1"/>
      <c r="S23" s="1"/>
      <c r="T23" s="1"/>
    </row>
    <row r="24" spans="2:20" ht="15" customHeight="1" thickTop="1" thickBot="1" x14ac:dyDescent="0.3">
      <c r="B24" s="43" t="s">
        <v>168</v>
      </c>
      <c r="C24" s="135" t="e">
        <f>'YF MAC-ON control check'!G5</f>
        <v>#DIV/0!</v>
      </c>
      <c r="D24" s="44" t="s">
        <v>40</v>
      </c>
      <c r="E24" s="45" t="e">
        <f>'YF MAC-ON control check'!H5</f>
        <v>#DIV/0!</v>
      </c>
      <c r="F24" s="1"/>
      <c r="G24" s="73"/>
      <c r="H24" s="74"/>
      <c r="I24" s="74"/>
      <c r="J24" s="69"/>
      <c r="K24" s="69"/>
      <c r="L24" s="69"/>
      <c r="M24" s="69"/>
      <c r="N24" s="1"/>
      <c r="O24" s="1"/>
      <c r="P24" s="1"/>
      <c r="Q24" s="1"/>
      <c r="R24" s="1"/>
      <c r="S24" s="1"/>
      <c r="T24" s="1"/>
    </row>
    <row r="25" spans="2:20" ht="16.5" thickTop="1" thickBot="1" x14ac:dyDescent="0.3">
      <c r="B25" s="43" t="s">
        <v>1</v>
      </c>
      <c r="C25" s="136" t="str">
        <f>'YF MAC-ON control check'!G8</f>
        <v>N/A</v>
      </c>
      <c r="D25" s="72" t="s">
        <v>37</v>
      </c>
      <c r="E25" s="46" t="e">
        <f>'YF MAC-ON control check'!H7</f>
        <v>#DIV/0!</v>
      </c>
      <c r="F25" s="1"/>
      <c r="G25" s="74"/>
      <c r="H25" s="74"/>
      <c r="I25" s="74"/>
      <c r="J25" s="71" t="s">
        <v>170</v>
      </c>
      <c r="K25" s="257" t="s">
        <v>184</v>
      </c>
      <c r="L25" s="258"/>
      <c r="M25" s="259"/>
      <c r="N25" s="1"/>
      <c r="O25" s="1"/>
      <c r="P25" s="1"/>
      <c r="Q25" s="1"/>
      <c r="R25" s="1"/>
      <c r="S25" s="1"/>
      <c r="T25" s="1"/>
    </row>
    <row r="26" spans="2:20" ht="16.5" thickTop="1" thickBot="1" x14ac:dyDescent="0.3">
      <c r="B26" s="43" t="s">
        <v>169</v>
      </c>
      <c r="C26" s="133" t="e">
        <f>'YF MAC-ON control check'!G14</f>
        <v>#DIV/0!</v>
      </c>
      <c r="D26" s="72" t="s">
        <v>42</v>
      </c>
      <c r="E26" s="46" t="e">
        <f>'YF MAC-ON control check'!H17</f>
        <v>#DIV/0!</v>
      </c>
      <c r="F26" s="1"/>
      <c r="G26" s="74"/>
      <c r="H26" s="74"/>
      <c r="I26" s="74"/>
      <c r="J26" s="71" t="s">
        <v>171</v>
      </c>
      <c r="K26" s="260" t="s">
        <v>185</v>
      </c>
      <c r="L26" s="261"/>
      <c r="M26" s="262"/>
      <c r="N26" s="1"/>
      <c r="O26" s="1"/>
      <c r="P26" s="1"/>
      <c r="Q26" s="1"/>
      <c r="R26" s="1"/>
      <c r="S26" s="1"/>
      <c r="T26" s="1"/>
    </row>
    <row r="27" spans="2:20" ht="16.5" thickTop="1" thickBot="1" x14ac:dyDescent="0.3">
      <c r="B27" s="43" t="s">
        <v>5</v>
      </c>
      <c r="C27" s="137" t="e">
        <f>'YF MAC-ON control check'!G18</f>
        <v>#DIV/0!</v>
      </c>
      <c r="D27" s="72" t="s">
        <v>38</v>
      </c>
      <c r="E27" s="46" t="e">
        <f>'YF MAC-ON control check'!H16</f>
        <v>#DIV/0!</v>
      </c>
      <c r="F27" s="1"/>
      <c r="G27" s="74"/>
      <c r="H27" s="74"/>
      <c r="I27" s="74"/>
      <c r="J27" s="71" t="s">
        <v>172</v>
      </c>
      <c r="K27" s="257" t="s">
        <v>186</v>
      </c>
      <c r="L27" s="258"/>
      <c r="M27" s="259"/>
      <c r="N27" s="1"/>
      <c r="O27" s="1"/>
      <c r="P27" s="1"/>
      <c r="Q27" s="1"/>
      <c r="R27" s="1"/>
      <c r="S27" s="1"/>
      <c r="T27" s="1"/>
    </row>
    <row r="28" spans="2:20" ht="16.5" thickTop="1" thickBot="1" x14ac:dyDescent="0.3">
      <c r="B28" s="43" t="s">
        <v>2</v>
      </c>
      <c r="C28" s="138" t="e">
        <f>'YF MAC-ON control check'!G27</f>
        <v>#DIV/0!</v>
      </c>
      <c r="D28" s="47"/>
      <c r="E28" s="48"/>
      <c r="F28" s="1"/>
      <c r="G28" s="74"/>
      <c r="H28" s="74"/>
      <c r="I28" s="74"/>
      <c r="J28" s="71" t="s">
        <v>173</v>
      </c>
      <c r="K28" s="257" t="s">
        <v>187</v>
      </c>
      <c r="L28" s="258"/>
      <c r="M28" s="259"/>
      <c r="N28" s="1"/>
      <c r="O28" s="1"/>
      <c r="P28" s="1"/>
      <c r="Q28" s="1"/>
      <c r="R28" s="1"/>
      <c r="S28" s="1"/>
      <c r="T28" s="1"/>
    </row>
    <row r="29" spans="2:20" ht="16.5" thickTop="1" thickBot="1" x14ac:dyDescent="0.3">
      <c r="B29" s="43" t="s">
        <v>4</v>
      </c>
      <c r="C29" s="133" t="str">
        <f>IF(AND(ISNUMBER(C25),ISNUMBER(C28),ISNUMBER(C25/C28)),C25/C28,"N/A")</f>
        <v>N/A</v>
      </c>
      <c r="D29" s="49" t="s">
        <v>13</v>
      </c>
      <c r="E29" s="46" t="str">
        <f>IF(AND(ISNUMBER(C29),(C29&gt;=2)),"Valid", "Not valid")</f>
        <v>Not valid</v>
      </c>
      <c r="F29" s="1"/>
      <c r="G29" s="74"/>
      <c r="H29" s="74"/>
      <c r="I29" s="74"/>
      <c r="J29" s="71" t="s">
        <v>174</v>
      </c>
      <c r="K29" s="257" t="s">
        <v>188</v>
      </c>
      <c r="L29" s="258"/>
      <c r="M29" s="259"/>
      <c r="N29" s="1"/>
      <c r="O29" s="1"/>
      <c r="P29" s="1"/>
      <c r="Q29" s="1"/>
      <c r="R29" s="1"/>
      <c r="S29" s="1"/>
      <c r="T29" s="1"/>
    </row>
    <row r="30" spans="2:20" ht="16.5" thickTop="1" thickBot="1" x14ac:dyDescent="0.3">
      <c r="B30" s="43" t="s">
        <v>176</v>
      </c>
      <c r="C30" s="133" t="e">
        <f>IF(OR(C25="N/A",C27="N/A"),"N/A",C25/C27)</f>
        <v>#DIV/0!</v>
      </c>
      <c r="D30" s="49" t="s">
        <v>58</v>
      </c>
      <c r="E30" s="46" t="e">
        <f>IF(AND(C30&lt;&gt;"N/A",C30&gt;=3),"Valid","Not Valid")</f>
        <v>#DIV/0!</v>
      </c>
      <c r="F30" s="1"/>
      <c r="G30" s="74"/>
      <c r="H30" s="74"/>
      <c r="I30" s="74"/>
      <c r="J30" s="71" t="s">
        <v>175</v>
      </c>
      <c r="K30" s="254" t="s">
        <v>189</v>
      </c>
      <c r="L30" s="255"/>
      <c r="M30" s="256"/>
      <c r="N30" s="1"/>
      <c r="O30" s="1"/>
      <c r="P30" s="1"/>
      <c r="Q30" s="1"/>
      <c r="R30" s="1"/>
      <c r="S30" s="1"/>
      <c r="T30" s="1"/>
    </row>
    <row r="31" spans="2:20" ht="16.5" thickTop="1" thickBot="1" x14ac:dyDescent="0.3">
      <c r="B31" s="50" t="s">
        <v>167</v>
      </c>
      <c r="C31" s="38"/>
      <c r="D31" s="38"/>
      <c r="E31" s="51" t="e">
        <f>IF(AND(E24="Valid",E25="Valid",E26="Valid",E27="Valid",E29="Valid", E30="Valid"),"Yes","No - Repeat")</f>
        <v>#DIV/0!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ht="16.5" thickTop="1" thickBot="1" x14ac:dyDescent="0.3">
      <c r="B32" s="87"/>
      <c r="C32" s="72"/>
      <c r="D32" s="72"/>
      <c r="E32" s="7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ht="31.5" thickTop="1" thickBot="1" x14ac:dyDescent="0.3">
      <c r="B33" s="219" t="s">
        <v>177</v>
      </c>
      <c r="C33" s="86" t="s">
        <v>0</v>
      </c>
      <c r="D33" s="32" t="s">
        <v>3</v>
      </c>
      <c r="E33" s="7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ht="15.75" thickTop="1" x14ac:dyDescent="0.25">
      <c r="B34" s="78" t="s">
        <v>70</v>
      </c>
      <c r="C34" s="83" t="s">
        <v>78</v>
      </c>
      <c r="D34" s="84" t="s">
        <v>73</v>
      </c>
      <c r="E34" s="7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25">
      <c r="B35" s="79" t="s">
        <v>71</v>
      </c>
      <c r="C35" s="84" t="s">
        <v>79</v>
      </c>
      <c r="D35" s="84" t="s">
        <v>73</v>
      </c>
      <c r="E35" s="7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 x14ac:dyDescent="0.25">
      <c r="B36" s="79" t="s">
        <v>69</v>
      </c>
      <c r="C36" s="84" t="s">
        <v>80</v>
      </c>
      <c r="D36" s="84" t="s">
        <v>76</v>
      </c>
      <c r="E36" s="7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15.75" thickBot="1" x14ac:dyDescent="0.3">
      <c r="B37" s="80" t="s">
        <v>69</v>
      </c>
      <c r="C37" s="85" t="s">
        <v>76</v>
      </c>
      <c r="D37" s="85" t="s">
        <v>80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 ht="15.75" thickTop="1" x14ac:dyDescent="0.25">
      <c r="B38" s="76"/>
      <c r="C38" s="34"/>
      <c r="D38" s="3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x14ac:dyDescent="0.25">
      <c r="B39" s="1"/>
      <c r="C39" s="1"/>
      <c r="D39" s="1"/>
      <c r="E39" s="1"/>
      <c r="F39" s="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0" ht="21" x14ac:dyDescent="0.35">
      <c r="B40" s="52" t="s">
        <v>191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2:20" ht="43.5" customHeight="1" x14ac:dyDescent="0.25">
      <c r="B41" s="126" t="s">
        <v>178</v>
      </c>
      <c r="C41" s="124"/>
      <c r="D41" s="125" t="s">
        <v>9</v>
      </c>
      <c r="E41" s="125" t="s">
        <v>192</v>
      </c>
      <c r="F41" s="125" t="s">
        <v>0</v>
      </c>
      <c r="G41" s="125" t="s">
        <v>16</v>
      </c>
      <c r="H41" s="125" t="s">
        <v>10</v>
      </c>
      <c r="I41" s="125" t="s">
        <v>193</v>
      </c>
      <c r="J41" s="125" t="s">
        <v>3</v>
      </c>
      <c r="K41" s="220" t="s">
        <v>180</v>
      </c>
      <c r="L41" s="123" t="s">
        <v>181</v>
      </c>
      <c r="M41" s="1"/>
      <c r="N41" s="1"/>
      <c r="O41" s="1"/>
      <c r="P41" s="1"/>
      <c r="Q41" s="1"/>
      <c r="R41" s="1"/>
      <c r="S41" s="1"/>
      <c r="T41" s="1"/>
    </row>
    <row r="42" spans="2:20" ht="15.75" thickBot="1" x14ac:dyDescent="0.3">
      <c r="B42" s="271">
        <v>1</v>
      </c>
      <c r="C42" s="178" t="s">
        <v>17</v>
      </c>
      <c r="D42" s="200" t="e">
        <f t="shared" ref="D42:D47" si="6">IF($E$31="YES",C15,"Invalid test")</f>
        <v>#DIV/0!</v>
      </c>
      <c r="E42" s="263" t="e">
        <f>AVERAGE(D42:D44)</f>
        <v>#DIV/0!</v>
      </c>
      <c r="F42" s="263" t="e">
        <f>E42/$C$27</f>
        <v>#DIV/0!</v>
      </c>
      <c r="G42" s="69" t="s">
        <v>17</v>
      </c>
      <c r="H42" s="200" t="e">
        <f t="shared" ref="H42:H47" si="7">IF($E$31="YES",D15,"Invalid test")</f>
        <v>#DIV/0!</v>
      </c>
      <c r="I42" s="263" t="e">
        <f>AVERAGE(H42:H44)</f>
        <v>#DIV/0!</v>
      </c>
      <c r="J42" s="276" t="e">
        <f>IF(AND(ISNUMBER(E42),ISNUMBER(I42),ISNUMBER(E42/I42),E42/I42&gt;0),E42/I42, "Not valid")</f>
        <v>#DIV/0!</v>
      </c>
      <c r="K42" s="277" t="str">
        <f>IF(AND(ISNUMBER(J42)),IF(AND(J42&gt;=1.5,F42&gt;=2),"POS",IF(AND(J42&gt;=1.5,F42&gt;1.5),"EQ","NEG")),"Not valid")</f>
        <v>Not valid</v>
      </c>
      <c r="L42" s="279" t="str">
        <f>IF(K42="POS","POS",IF(K42="EQ","EQ repeat using optional YF MAC-ON",IF(K42="NEG","NEG","Repetir la prueba de la muestra")))</f>
        <v>Repetir la prueba de la muestra</v>
      </c>
      <c r="M42" s="1"/>
      <c r="N42" s="1"/>
      <c r="O42" s="1"/>
      <c r="P42" s="1"/>
      <c r="Q42" s="1"/>
      <c r="R42" s="1"/>
      <c r="S42" s="1"/>
      <c r="T42" s="1"/>
    </row>
    <row r="43" spans="2:20" ht="15.75" thickBot="1" x14ac:dyDescent="0.3">
      <c r="B43" s="272"/>
      <c r="C43" s="178" t="s">
        <v>18</v>
      </c>
      <c r="D43" s="200" t="e">
        <f t="shared" si="6"/>
        <v>#DIV/0!</v>
      </c>
      <c r="E43" s="263"/>
      <c r="F43" s="263"/>
      <c r="G43" s="69" t="s">
        <v>18</v>
      </c>
      <c r="H43" s="200" t="e">
        <f t="shared" si="7"/>
        <v>#DIV/0!</v>
      </c>
      <c r="I43" s="263"/>
      <c r="J43" s="276"/>
      <c r="K43" s="278"/>
      <c r="L43" s="280"/>
      <c r="M43" s="1"/>
      <c r="N43" s="1"/>
      <c r="O43" s="1"/>
      <c r="P43" s="1"/>
      <c r="Q43" s="1"/>
      <c r="R43" s="1"/>
      <c r="S43" s="1"/>
      <c r="T43" s="1"/>
    </row>
    <row r="44" spans="2:20" ht="15.75" thickBot="1" x14ac:dyDescent="0.3">
      <c r="B44" s="273"/>
      <c r="C44" s="201" t="s">
        <v>19</v>
      </c>
      <c r="D44" s="202" t="e">
        <f t="shared" si="6"/>
        <v>#DIV/0!</v>
      </c>
      <c r="E44" s="264"/>
      <c r="F44" s="264"/>
      <c r="G44" s="203" t="s">
        <v>19</v>
      </c>
      <c r="H44" s="202" t="e">
        <f t="shared" si="7"/>
        <v>#DIV/0!</v>
      </c>
      <c r="I44" s="264"/>
      <c r="J44" s="277"/>
      <c r="K44" s="278"/>
      <c r="L44" s="280"/>
      <c r="M44" s="1"/>
      <c r="N44" s="1"/>
      <c r="O44" s="1"/>
      <c r="P44" s="1"/>
      <c r="Q44" s="1"/>
      <c r="R44" s="1"/>
      <c r="S44" s="1"/>
      <c r="T44" s="1"/>
    </row>
    <row r="45" spans="2:20" ht="15.75" thickBot="1" x14ac:dyDescent="0.3">
      <c r="B45" s="274">
        <v>2</v>
      </c>
      <c r="C45" s="204" t="s">
        <v>20</v>
      </c>
      <c r="D45" s="205" t="e">
        <f t="shared" si="6"/>
        <v>#DIV/0!</v>
      </c>
      <c r="E45" s="265" t="e">
        <f t="shared" ref="E45" si="8">AVERAGE(D45:D47)</f>
        <v>#DIV/0!</v>
      </c>
      <c r="F45" s="265" t="e">
        <f t="shared" ref="F45" si="9">E45/$C$27</f>
        <v>#DIV/0!</v>
      </c>
      <c r="G45" s="206" t="s">
        <v>20</v>
      </c>
      <c r="H45" s="205" t="e">
        <f t="shared" si="7"/>
        <v>#DIV/0!</v>
      </c>
      <c r="I45" s="265" t="e">
        <f t="shared" ref="I45" si="10">AVERAGE(H45:H47)</f>
        <v>#DIV/0!</v>
      </c>
      <c r="J45" s="276" t="e">
        <f t="shared" ref="J45" si="11">IF(AND(ISNUMBER(E45),ISNUMBER(I45),ISNUMBER(E45/I45),E45/I45&gt;0),E45/I45, "Not valid")</f>
        <v>#DIV/0!</v>
      </c>
      <c r="K45" s="277" t="str">
        <f t="shared" ref="K45" si="12">IF(AND(ISNUMBER(J45)),IF(AND(J45&gt;=1.5,F45&gt;=2),"POS",IF(AND(J45&gt;=1.5,F45&gt;1.5),"EQ","NEG")),"Not valid")</f>
        <v>Not valid</v>
      </c>
      <c r="L45" s="279" t="str">
        <f t="shared" ref="L45" si="13">IF(K45="POS","POS",IF(K45="EQ","EQ repeat using optional YF MAC-ON",IF(K45="NEG","NEG","Repetir la prueba de la muestra")))</f>
        <v>Repetir la prueba de la muestra</v>
      </c>
      <c r="M45" s="1"/>
      <c r="N45" s="1"/>
      <c r="O45" s="1"/>
      <c r="P45" s="1"/>
      <c r="Q45" s="1"/>
      <c r="R45" s="1"/>
      <c r="S45" s="1"/>
      <c r="T45" s="1"/>
    </row>
    <row r="46" spans="2:20" ht="15.75" thickBot="1" x14ac:dyDescent="0.3">
      <c r="B46" s="272"/>
      <c r="C46" s="178" t="s">
        <v>21</v>
      </c>
      <c r="D46" s="200" t="e">
        <f t="shared" si="6"/>
        <v>#DIV/0!</v>
      </c>
      <c r="E46" s="263"/>
      <c r="F46" s="263"/>
      <c r="G46" s="69" t="s">
        <v>21</v>
      </c>
      <c r="H46" s="200" t="e">
        <f t="shared" si="7"/>
        <v>#DIV/0!</v>
      </c>
      <c r="I46" s="263"/>
      <c r="J46" s="276"/>
      <c r="K46" s="278"/>
      <c r="L46" s="280"/>
      <c r="M46" s="1"/>
      <c r="N46" s="1"/>
      <c r="O46" s="1"/>
      <c r="P46" s="1"/>
      <c r="Q46" s="1"/>
      <c r="R46" s="1"/>
      <c r="S46" s="1"/>
      <c r="T46" s="1"/>
    </row>
    <row r="47" spans="2:20" ht="15.75" thickBot="1" x14ac:dyDescent="0.3">
      <c r="B47" s="275"/>
      <c r="C47" s="201" t="s">
        <v>103</v>
      </c>
      <c r="D47" s="202" t="e">
        <f t="shared" si="6"/>
        <v>#DIV/0!</v>
      </c>
      <c r="E47" s="264"/>
      <c r="F47" s="264"/>
      <c r="G47" s="203" t="s">
        <v>103</v>
      </c>
      <c r="H47" s="202" t="e">
        <f t="shared" si="7"/>
        <v>#DIV/0!</v>
      </c>
      <c r="I47" s="264"/>
      <c r="J47" s="277"/>
      <c r="K47" s="278"/>
      <c r="L47" s="280"/>
      <c r="M47" s="1"/>
      <c r="N47" s="1"/>
      <c r="O47" s="1"/>
      <c r="P47" s="1"/>
      <c r="Q47" s="1"/>
      <c r="R47" s="1"/>
      <c r="S47" s="1"/>
      <c r="T47" s="1"/>
    </row>
    <row r="48" spans="2:20" ht="15.75" thickBot="1" x14ac:dyDescent="0.3">
      <c r="B48" s="266">
        <v>3</v>
      </c>
      <c r="C48" s="178" t="s">
        <v>22</v>
      </c>
      <c r="D48" s="200" t="e">
        <f t="shared" ref="D48:D53" si="14">IF($E$31="YES",E15,"Invalid test")</f>
        <v>#DIV/0!</v>
      </c>
      <c r="E48" s="263" t="e">
        <f t="shared" ref="E48" si="15">AVERAGE(D48:D50)</f>
        <v>#DIV/0!</v>
      </c>
      <c r="F48" s="263" t="e">
        <f t="shared" ref="F48" si="16">E48/$C$27</f>
        <v>#DIV/0!</v>
      </c>
      <c r="G48" s="69" t="s">
        <v>22</v>
      </c>
      <c r="H48" s="200" t="e">
        <f t="shared" ref="H48:H53" si="17">IF($E$31="YES",F15,"Invalid test")</f>
        <v>#DIV/0!</v>
      </c>
      <c r="I48" s="263" t="e">
        <f t="shared" ref="I48" si="18">AVERAGE(H48:H50)</f>
        <v>#DIV/0!</v>
      </c>
      <c r="J48" s="276" t="e">
        <f t="shared" ref="J48" si="19">IF(AND(ISNUMBER(E48),ISNUMBER(I48),ISNUMBER(E48/I48),E48/I48&gt;0),E48/I48, "Not valid")</f>
        <v>#DIV/0!</v>
      </c>
      <c r="K48" s="277" t="str">
        <f t="shared" ref="K48" si="20">IF(AND(ISNUMBER(J48)),IF(AND(J48&gt;=1.5,F48&gt;=2),"POS",IF(AND(J48&gt;=1.5,F48&gt;1.5),"EQ","NEG")),"Not valid")</f>
        <v>Not valid</v>
      </c>
      <c r="L48" s="279" t="str">
        <f t="shared" ref="L48" si="21">IF(K48="POS","POS",IF(K48="EQ","EQ repeat using optional YF MAC-ON",IF(K48="NEG","NEG","Repetir la prueba de la muestra")))</f>
        <v>Repetir la prueba de la muestra</v>
      </c>
      <c r="M48" s="1"/>
      <c r="N48" s="1"/>
      <c r="O48" s="1"/>
      <c r="P48" s="1"/>
      <c r="Q48" s="1"/>
      <c r="R48" s="1"/>
      <c r="S48" s="1"/>
      <c r="T48" s="1"/>
    </row>
    <row r="49" spans="2:20" ht="15.75" thickBot="1" x14ac:dyDescent="0.3">
      <c r="B49" s="266"/>
      <c r="C49" s="178" t="s">
        <v>23</v>
      </c>
      <c r="D49" s="200" t="e">
        <f t="shared" si="14"/>
        <v>#DIV/0!</v>
      </c>
      <c r="E49" s="263"/>
      <c r="F49" s="263"/>
      <c r="G49" s="69" t="s">
        <v>23</v>
      </c>
      <c r="H49" s="200" t="e">
        <f t="shared" si="17"/>
        <v>#DIV/0!</v>
      </c>
      <c r="I49" s="263"/>
      <c r="J49" s="276"/>
      <c r="K49" s="278"/>
      <c r="L49" s="280"/>
      <c r="M49" s="1"/>
      <c r="N49" s="1"/>
      <c r="O49" s="1"/>
      <c r="P49" s="1"/>
      <c r="Q49" s="1"/>
      <c r="R49" s="1"/>
      <c r="S49" s="1"/>
      <c r="T49" s="1"/>
    </row>
    <row r="50" spans="2:20" ht="15.75" thickBot="1" x14ac:dyDescent="0.3">
      <c r="B50" s="269"/>
      <c r="C50" s="178" t="s">
        <v>24</v>
      </c>
      <c r="D50" s="202" t="e">
        <f t="shared" si="14"/>
        <v>#DIV/0!</v>
      </c>
      <c r="E50" s="264"/>
      <c r="F50" s="264"/>
      <c r="G50" s="69" t="s">
        <v>24</v>
      </c>
      <c r="H50" s="202" t="e">
        <f t="shared" si="17"/>
        <v>#DIV/0!</v>
      </c>
      <c r="I50" s="264"/>
      <c r="J50" s="277"/>
      <c r="K50" s="278"/>
      <c r="L50" s="280"/>
      <c r="M50" s="1"/>
      <c r="N50" s="1"/>
      <c r="O50" s="1"/>
      <c r="P50" s="1"/>
      <c r="Q50" s="1"/>
      <c r="R50" s="1"/>
      <c r="S50" s="1"/>
      <c r="T50" s="1"/>
    </row>
    <row r="51" spans="2:20" ht="15.75" thickBot="1" x14ac:dyDescent="0.3">
      <c r="B51" s="266">
        <v>4</v>
      </c>
      <c r="C51" s="204" t="s">
        <v>25</v>
      </c>
      <c r="D51" s="200" t="e">
        <f t="shared" si="14"/>
        <v>#DIV/0!</v>
      </c>
      <c r="E51" s="263" t="e">
        <f t="shared" ref="E51" si="22">AVERAGE(D51:D53)</f>
        <v>#DIV/0!</v>
      </c>
      <c r="F51" s="263" t="e">
        <f t="shared" ref="F51" si="23">E51/$C$27</f>
        <v>#DIV/0!</v>
      </c>
      <c r="G51" s="206" t="s">
        <v>25</v>
      </c>
      <c r="H51" s="200" t="e">
        <f t="shared" si="17"/>
        <v>#DIV/0!</v>
      </c>
      <c r="I51" s="263" t="e">
        <f t="shared" ref="I51" si="24">AVERAGE(H51:H53)</f>
        <v>#DIV/0!</v>
      </c>
      <c r="J51" s="276" t="e">
        <f t="shared" ref="J51" si="25">IF(AND(ISNUMBER(E51),ISNUMBER(I51),ISNUMBER(E51/I51),E51/I51&gt;0),E51/I51, "Not valid")</f>
        <v>#DIV/0!</v>
      </c>
      <c r="K51" s="277" t="str">
        <f t="shared" ref="K51" si="26">IF(AND(ISNUMBER(J51)),IF(AND(J51&gt;=1.5,F51&gt;=2),"POS",IF(AND(J51&gt;=1.5,F51&gt;1.5),"EQ","NEG")),"Not valid")</f>
        <v>Not valid</v>
      </c>
      <c r="L51" s="279" t="str">
        <f t="shared" ref="L51" si="27">IF(K51="POS","POS",IF(K51="EQ","EQ repeat using optional YF MAC-ON",IF(K51="NEG","NEG","Repetir la prueba de la muestra")))</f>
        <v>Repetir la prueba de la muestra</v>
      </c>
      <c r="M51" s="1"/>
      <c r="N51" s="1"/>
      <c r="O51" s="1"/>
      <c r="P51" s="1"/>
      <c r="Q51" s="1"/>
      <c r="R51" s="1"/>
      <c r="S51" s="1"/>
      <c r="T51" s="1"/>
    </row>
    <row r="52" spans="2:20" ht="15.75" thickBot="1" x14ac:dyDescent="0.3">
      <c r="B52" s="266"/>
      <c r="C52" s="178" t="s">
        <v>26</v>
      </c>
      <c r="D52" s="200" t="e">
        <f t="shared" si="14"/>
        <v>#DIV/0!</v>
      </c>
      <c r="E52" s="263"/>
      <c r="F52" s="263"/>
      <c r="G52" s="69" t="s">
        <v>26</v>
      </c>
      <c r="H52" s="200" t="e">
        <f t="shared" si="17"/>
        <v>#DIV/0!</v>
      </c>
      <c r="I52" s="263"/>
      <c r="J52" s="276"/>
      <c r="K52" s="278"/>
      <c r="L52" s="280"/>
      <c r="M52" s="1"/>
      <c r="N52" s="1"/>
      <c r="O52" s="1"/>
      <c r="P52" s="1"/>
      <c r="Q52" s="1"/>
      <c r="R52" s="1"/>
      <c r="S52" s="1"/>
      <c r="T52" s="1"/>
    </row>
    <row r="53" spans="2:20" ht="15.75" thickBot="1" x14ac:dyDescent="0.3">
      <c r="B53" s="266"/>
      <c r="C53" s="201" t="s">
        <v>104</v>
      </c>
      <c r="D53" s="200" t="e">
        <f t="shared" si="14"/>
        <v>#DIV/0!</v>
      </c>
      <c r="E53" s="263"/>
      <c r="F53" s="263"/>
      <c r="G53" s="203" t="s">
        <v>104</v>
      </c>
      <c r="H53" s="200" t="e">
        <f t="shared" si="17"/>
        <v>#DIV/0!</v>
      </c>
      <c r="I53" s="263"/>
      <c r="J53" s="277"/>
      <c r="K53" s="278"/>
      <c r="L53" s="280"/>
      <c r="M53" s="1"/>
      <c r="N53" s="1"/>
      <c r="O53" s="1"/>
      <c r="P53" s="1"/>
      <c r="Q53" s="1"/>
      <c r="R53" s="1"/>
      <c r="S53" s="1"/>
      <c r="T53" s="1"/>
    </row>
    <row r="54" spans="2:20" ht="15.75" thickBot="1" x14ac:dyDescent="0.3">
      <c r="B54" s="268">
        <v>5</v>
      </c>
      <c r="C54" s="178" t="s">
        <v>27</v>
      </c>
      <c r="D54" s="205" t="e">
        <f t="shared" ref="D54:D59" si="28">IF($E$31="YES",G15,"Invalid test")</f>
        <v>#DIV/0!</v>
      </c>
      <c r="E54" s="265" t="e">
        <f t="shared" ref="E54" si="29">AVERAGE(D54:D56)</f>
        <v>#DIV/0!</v>
      </c>
      <c r="F54" s="265" t="e">
        <f t="shared" ref="F54" si="30">E54/$C$27</f>
        <v>#DIV/0!</v>
      </c>
      <c r="G54" s="69" t="s">
        <v>27</v>
      </c>
      <c r="H54" s="205" t="e">
        <f t="shared" ref="H54:H59" si="31">IF($E$31="YES",H15,"Invalid test")</f>
        <v>#DIV/0!</v>
      </c>
      <c r="I54" s="265" t="e">
        <f t="shared" ref="I54" si="32">AVERAGE(H54:H56)</f>
        <v>#DIV/0!</v>
      </c>
      <c r="J54" s="276" t="e">
        <f t="shared" ref="J54" si="33">IF(AND(ISNUMBER(E54),ISNUMBER(I54),ISNUMBER(E54/I54),E54/I54&gt;0),E54/I54, "Not valid")</f>
        <v>#DIV/0!</v>
      </c>
      <c r="K54" s="277" t="str">
        <f t="shared" ref="K54" si="34">IF(AND(ISNUMBER(J54)),IF(AND(J54&gt;=1.5,F54&gt;=2),"POS",IF(AND(J54&gt;=1.5,F54&gt;1.5),"EQ","NEG")),"Not valid")</f>
        <v>Not valid</v>
      </c>
      <c r="L54" s="279" t="str">
        <f t="shared" ref="L54" si="35">IF(K54="POS","POS",IF(K54="EQ","EQ repeat using optional YF MAC-ON",IF(K54="NEG","NEG","Repetir la prueba de la muestra")))</f>
        <v>Repetir la prueba de la muestra</v>
      </c>
      <c r="M54" s="1"/>
      <c r="N54" s="1"/>
      <c r="O54" s="1"/>
      <c r="P54" s="1"/>
      <c r="Q54" s="1"/>
      <c r="R54" s="1"/>
      <c r="S54" s="1"/>
      <c r="T54" s="1"/>
    </row>
    <row r="55" spans="2:20" ht="15.75" thickBot="1" x14ac:dyDescent="0.3">
      <c r="B55" s="266"/>
      <c r="C55" s="178" t="s">
        <v>28</v>
      </c>
      <c r="D55" s="200" t="e">
        <f t="shared" si="28"/>
        <v>#DIV/0!</v>
      </c>
      <c r="E55" s="263"/>
      <c r="F55" s="263"/>
      <c r="G55" s="69" t="s">
        <v>28</v>
      </c>
      <c r="H55" s="200" t="e">
        <f t="shared" si="31"/>
        <v>#DIV/0!</v>
      </c>
      <c r="I55" s="263"/>
      <c r="J55" s="276"/>
      <c r="K55" s="278"/>
      <c r="L55" s="280"/>
      <c r="M55" s="1"/>
      <c r="N55" s="1"/>
      <c r="O55" s="1"/>
      <c r="P55" s="1"/>
      <c r="Q55" s="1"/>
      <c r="R55" s="1"/>
      <c r="S55" s="1"/>
      <c r="T55" s="1"/>
    </row>
    <row r="56" spans="2:20" ht="15.75" thickBot="1" x14ac:dyDescent="0.3">
      <c r="B56" s="269"/>
      <c r="C56" s="178" t="s">
        <v>29</v>
      </c>
      <c r="D56" s="202" t="e">
        <f t="shared" si="28"/>
        <v>#DIV/0!</v>
      </c>
      <c r="E56" s="264"/>
      <c r="F56" s="264"/>
      <c r="G56" s="69" t="s">
        <v>29</v>
      </c>
      <c r="H56" s="202" t="e">
        <f t="shared" si="31"/>
        <v>#DIV/0!</v>
      </c>
      <c r="I56" s="264"/>
      <c r="J56" s="277"/>
      <c r="K56" s="278"/>
      <c r="L56" s="280"/>
      <c r="M56" s="1"/>
      <c r="N56" s="1"/>
      <c r="O56" s="1"/>
      <c r="P56" s="1"/>
      <c r="Q56" s="1"/>
      <c r="R56" s="1"/>
      <c r="S56" s="1"/>
      <c r="T56" s="1"/>
    </row>
    <row r="57" spans="2:20" ht="15.75" thickBot="1" x14ac:dyDescent="0.3">
      <c r="B57" s="266">
        <v>6</v>
      </c>
      <c r="C57" s="204" t="s">
        <v>30</v>
      </c>
      <c r="D57" s="200" t="e">
        <f t="shared" si="28"/>
        <v>#DIV/0!</v>
      </c>
      <c r="E57" s="263" t="e">
        <f t="shared" ref="E57" si="36">AVERAGE(D57:D59)</f>
        <v>#DIV/0!</v>
      </c>
      <c r="F57" s="263" t="e">
        <f t="shared" ref="F57" si="37">E57/$C$27</f>
        <v>#DIV/0!</v>
      </c>
      <c r="G57" s="206" t="s">
        <v>30</v>
      </c>
      <c r="H57" s="200" t="e">
        <f t="shared" si="31"/>
        <v>#DIV/0!</v>
      </c>
      <c r="I57" s="263" t="e">
        <f t="shared" ref="I57" si="38">AVERAGE(H57:H59)</f>
        <v>#DIV/0!</v>
      </c>
      <c r="J57" s="276" t="e">
        <f t="shared" ref="J57" si="39">IF(AND(ISNUMBER(E57),ISNUMBER(I57),ISNUMBER(E57/I57),E57/I57&gt;0),E57/I57, "Not valid")</f>
        <v>#DIV/0!</v>
      </c>
      <c r="K57" s="277" t="str">
        <f t="shared" ref="K57" si="40">IF(AND(ISNUMBER(J57)),IF(AND(J57&gt;=1.5,F57&gt;=2),"POS",IF(AND(J57&gt;=1.5,F57&gt;1.5),"EQ","NEG")),"Not valid")</f>
        <v>Not valid</v>
      </c>
      <c r="L57" s="279" t="str">
        <f t="shared" ref="L57" si="41">IF(K57="POS","POS",IF(K57="EQ","EQ repeat using optional YF MAC-ON",IF(K57="NEG","NEG","Repetir la prueba de la muestra")))</f>
        <v>Repetir la prueba de la muestra</v>
      </c>
      <c r="M57" s="1"/>
      <c r="N57" s="1"/>
      <c r="O57" s="1"/>
      <c r="P57" s="1"/>
      <c r="Q57" s="1"/>
      <c r="R57" s="1"/>
      <c r="S57" s="1"/>
      <c r="T57" s="1"/>
    </row>
    <row r="58" spans="2:20" ht="15.75" thickBot="1" x14ac:dyDescent="0.3">
      <c r="B58" s="266"/>
      <c r="C58" s="178" t="s">
        <v>31</v>
      </c>
      <c r="D58" s="200" t="e">
        <f t="shared" si="28"/>
        <v>#DIV/0!</v>
      </c>
      <c r="E58" s="263"/>
      <c r="F58" s="263"/>
      <c r="G58" s="69" t="s">
        <v>31</v>
      </c>
      <c r="H58" s="200" t="e">
        <f t="shared" si="31"/>
        <v>#DIV/0!</v>
      </c>
      <c r="I58" s="263"/>
      <c r="J58" s="276"/>
      <c r="K58" s="278"/>
      <c r="L58" s="280"/>
      <c r="M58" s="1"/>
      <c r="N58" s="1"/>
      <c r="O58" s="1"/>
      <c r="P58" s="1"/>
      <c r="Q58" s="1"/>
      <c r="R58" s="1"/>
      <c r="S58" s="1"/>
      <c r="T58" s="1"/>
    </row>
    <row r="59" spans="2:20" ht="15.75" thickBot="1" x14ac:dyDescent="0.3">
      <c r="B59" s="266"/>
      <c r="C59" s="201" t="s">
        <v>105</v>
      </c>
      <c r="D59" s="200" t="e">
        <f t="shared" si="28"/>
        <v>#DIV/0!</v>
      </c>
      <c r="E59" s="263"/>
      <c r="F59" s="263"/>
      <c r="G59" s="203" t="s">
        <v>105</v>
      </c>
      <c r="H59" s="200" t="e">
        <f t="shared" si="31"/>
        <v>#DIV/0!</v>
      </c>
      <c r="I59" s="263"/>
      <c r="J59" s="277"/>
      <c r="K59" s="278"/>
      <c r="L59" s="280"/>
      <c r="M59" s="1"/>
      <c r="N59" s="1"/>
      <c r="O59" s="1"/>
      <c r="P59" s="1"/>
      <c r="Q59" s="1"/>
      <c r="R59" s="1"/>
      <c r="S59" s="1"/>
      <c r="T59" s="1"/>
    </row>
    <row r="60" spans="2:20" ht="15.75" thickBot="1" x14ac:dyDescent="0.3">
      <c r="B60" s="268">
        <v>7</v>
      </c>
      <c r="C60" s="178" t="s">
        <v>32</v>
      </c>
      <c r="D60" s="205" t="e">
        <f t="shared" ref="D60:D65" si="42">IF($E$31="YES",I15,"Invalid test")</f>
        <v>#DIV/0!</v>
      </c>
      <c r="E60" s="265" t="e">
        <f t="shared" ref="E60" si="43">AVERAGE(D60:D62)</f>
        <v>#DIV/0!</v>
      </c>
      <c r="F60" s="265" t="e">
        <f t="shared" ref="F60" si="44">E60/$C$27</f>
        <v>#DIV/0!</v>
      </c>
      <c r="G60" s="69" t="s">
        <v>32</v>
      </c>
      <c r="H60" s="205" t="e">
        <f t="shared" ref="H60:H65" si="45">IF($E$31="YES",J15,"Invalid test")</f>
        <v>#DIV/0!</v>
      </c>
      <c r="I60" s="265" t="e">
        <f t="shared" ref="I60" si="46">AVERAGE(H60:H62)</f>
        <v>#DIV/0!</v>
      </c>
      <c r="J60" s="276" t="e">
        <f t="shared" ref="J60" si="47">IF(AND(ISNUMBER(E60),ISNUMBER(I60),ISNUMBER(E60/I60),E60/I60&gt;0),E60/I60, "Not valid")</f>
        <v>#DIV/0!</v>
      </c>
      <c r="K60" s="277" t="str">
        <f t="shared" ref="K60" si="48">IF(AND(ISNUMBER(J60)),IF(AND(J60&gt;=1.5,F60&gt;=2),"POS",IF(AND(J60&gt;=1.5,F60&gt;1.5),"EQ","NEG")),"Not valid")</f>
        <v>Not valid</v>
      </c>
      <c r="L60" s="279" t="str">
        <f t="shared" ref="L60" si="49">IF(K60="POS","POS",IF(K60="EQ","EQ repeat using optional YF MAC-ON",IF(K60="NEG","NEG","Repetir la prueba de la muestra")))</f>
        <v>Repetir la prueba de la muestra</v>
      </c>
      <c r="M60" s="1"/>
      <c r="N60" s="1"/>
      <c r="O60" s="1"/>
      <c r="P60" s="1"/>
      <c r="Q60" s="1"/>
      <c r="R60" s="1"/>
      <c r="S60" s="1"/>
      <c r="T60" s="1"/>
    </row>
    <row r="61" spans="2:20" ht="15.75" thickBot="1" x14ac:dyDescent="0.3">
      <c r="B61" s="266"/>
      <c r="C61" s="178" t="s">
        <v>33</v>
      </c>
      <c r="D61" s="200" t="e">
        <f t="shared" si="42"/>
        <v>#DIV/0!</v>
      </c>
      <c r="E61" s="263"/>
      <c r="F61" s="263"/>
      <c r="G61" s="69" t="s">
        <v>33</v>
      </c>
      <c r="H61" s="200" t="e">
        <f t="shared" si="45"/>
        <v>#DIV/0!</v>
      </c>
      <c r="I61" s="263"/>
      <c r="J61" s="276"/>
      <c r="K61" s="278"/>
      <c r="L61" s="280"/>
      <c r="M61" s="1"/>
      <c r="N61" s="1"/>
      <c r="O61" s="1"/>
      <c r="P61" s="1"/>
      <c r="Q61" s="1"/>
      <c r="R61" s="1"/>
      <c r="S61" s="1"/>
      <c r="T61" s="1"/>
    </row>
    <row r="62" spans="2:20" ht="15.75" thickBot="1" x14ac:dyDescent="0.3">
      <c r="B62" s="269"/>
      <c r="C62" s="178" t="s">
        <v>34</v>
      </c>
      <c r="D62" s="202" t="e">
        <f t="shared" si="42"/>
        <v>#DIV/0!</v>
      </c>
      <c r="E62" s="264"/>
      <c r="F62" s="264"/>
      <c r="G62" s="69" t="s">
        <v>34</v>
      </c>
      <c r="H62" s="202" t="e">
        <f t="shared" si="45"/>
        <v>#DIV/0!</v>
      </c>
      <c r="I62" s="264"/>
      <c r="J62" s="277"/>
      <c r="K62" s="278"/>
      <c r="L62" s="280"/>
      <c r="M62" s="1"/>
      <c r="N62" s="1"/>
      <c r="O62" s="1"/>
      <c r="P62" s="1"/>
      <c r="Q62" s="1"/>
      <c r="R62" s="1"/>
      <c r="S62" s="1"/>
      <c r="T62" s="1"/>
    </row>
    <row r="63" spans="2:20" x14ac:dyDescent="0.25">
      <c r="B63" s="268">
        <v>8</v>
      </c>
      <c r="C63" s="204" t="s">
        <v>35</v>
      </c>
      <c r="D63" s="205" t="e">
        <f t="shared" si="42"/>
        <v>#DIV/0!</v>
      </c>
      <c r="E63" s="265" t="e">
        <f t="shared" ref="E63" si="50">AVERAGE(D63:D65)</f>
        <v>#DIV/0!</v>
      </c>
      <c r="F63" s="265" t="e">
        <f t="shared" ref="F63" si="51">E63/$C$27</f>
        <v>#DIV/0!</v>
      </c>
      <c r="G63" s="206" t="s">
        <v>35</v>
      </c>
      <c r="H63" s="205" t="e">
        <f t="shared" si="45"/>
        <v>#DIV/0!</v>
      </c>
      <c r="I63" s="265" t="e">
        <f t="shared" ref="I63" si="52">AVERAGE(H63:H65)</f>
        <v>#DIV/0!</v>
      </c>
      <c r="J63" s="265" t="e">
        <f t="shared" ref="J63" si="53">IF(AND(ISNUMBER(E63),ISNUMBER(I63),ISNUMBER(E63/I63),E63/I63&gt;0),E63/I63, "Not valid")</f>
        <v>#DIV/0!</v>
      </c>
      <c r="K63" s="265" t="str">
        <f t="shared" ref="K63" si="54">IF(AND(ISNUMBER(J63)),IF(AND(J63&gt;=1.5,F63&gt;=2),"POS",IF(AND(J63&gt;=1.5,F63&gt;1.5),"EQ","NEG")),"Not valid")</f>
        <v>Not valid</v>
      </c>
      <c r="L63" s="281" t="str">
        <f t="shared" ref="L63" si="55">IF(K63="POS","POS",IF(K63="EQ","EQ repeat using optional YF MAC-ON",IF(K63="NEG","NEG","Repetir la prueba de la muestra")))</f>
        <v>Repetir la prueba de la muestra</v>
      </c>
      <c r="M63" s="1"/>
      <c r="N63" s="1"/>
      <c r="O63" s="1"/>
      <c r="P63" s="1"/>
      <c r="Q63" s="1"/>
      <c r="R63" s="1"/>
      <c r="S63" s="1"/>
      <c r="T63" s="1"/>
    </row>
    <row r="64" spans="2:20" x14ac:dyDescent="0.25">
      <c r="B64" s="266"/>
      <c r="C64" s="178" t="s">
        <v>36</v>
      </c>
      <c r="D64" s="200" t="e">
        <f t="shared" si="42"/>
        <v>#DIV/0!</v>
      </c>
      <c r="E64" s="263"/>
      <c r="F64" s="263"/>
      <c r="G64" s="69" t="s">
        <v>36</v>
      </c>
      <c r="H64" s="200" t="e">
        <f t="shared" si="45"/>
        <v>#DIV/0!</v>
      </c>
      <c r="I64" s="263"/>
      <c r="J64" s="263"/>
      <c r="K64" s="263"/>
      <c r="L64" s="282"/>
      <c r="M64" s="1"/>
      <c r="N64" s="1"/>
      <c r="O64" s="1"/>
      <c r="P64" s="1"/>
      <c r="Q64" s="1"/>
      <c r="R64" s="1"/>
      <c r="S64" s="1"/>
      <c r="T64" s="1"/>
    </row>
    <row r="65" spans="2:20" x14ac:dyDescent="0.25">
      <c r="B65" s="270"/>
      <c r="C65" s="181" t="s">
        <v>106</v>
      </c>
      <c r="D65" s="207" t="e">
        <f t="shared" si="42"/>
        <v>#DIV/0!</v>
      </c>
      <c r="E65" s="267"/>
      <c r="F65" s="267"/>
      <c r="G65" s="183" t="s">
        <v>106</v>
      </c>
      <c r="H65" s="207" t="e">
        <f t="shared" si="45"/>
        <v>#DIV/0!</v>
      </c>
      <c r="I65" s="267"/>
      <c r="J65" s="267"/>
      <c r="K65" s="267"/>
      <c r="L65" s="283"/>
      <c r="M65" s="1"/>
      <c r="N65" s="1"/>
      <c r="O65" s="1"/>
      <c r="P65" s="1"/>
      <c r="Q65" s="1"/>
      <c r="R65" s="1"/>
      <c r="S65" s="1"/>
      <c r="T65" s="1"/>
    </row>
    <row r="66" spans="2:20" x14ac:dyDescent="0.25">
      <c r="B66" s="5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2:20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2:20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0" ht="15" customHeight="1" x14ac:dyDescent="0.25">
      <c r="B69" s="253" t="s">
        <v>182</v>
      </c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1"/>
      <c r="N69" s="1"/>
      <c r="O69" s="1"/>
      <c r="P69" s="1"/>
      <c r="Q69" s="1"/>
      <c r="R69" s="1"/>
      <c r="S69" s="1"/>
      <c r="T69" s="1"/>
    </row>
    <row r="70" spans="2:20" x14ac:dyDescent="0.25"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1"/>
      <c r="N70" s="1"/>
      <c r="O70" s="1"/>
      <c r="P70" s="1"/>
      <c r="Q70" s="1"/>
      <c r="R70" s="1"/>
      <c r="S70" s="1"/>
      <c r="T70" s="1"/>
    </row>
    <row r="71" spans="2:20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2:20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2:20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2:20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2:20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2:20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2:20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2:20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2:20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2:20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2:20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2:20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2:20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2:20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2:20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2:20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2:20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2:20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2:20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2:20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2:20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2:20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2:20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2:20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2:20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2:20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2:20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2:20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2:20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2:20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2:20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2:20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2:20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2:20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2:20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2:20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2:20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2:20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2:20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2:20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2:20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2:20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2:20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2:20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2:20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2:20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2:20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2:20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2:20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2:20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2:20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2:20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2:20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2:20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2:20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2:20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2:20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2:20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</sheetData>
  <sheetProtection algorithmName="SHA-512" hashValue="qLW9RKuy+7tnUxwxcYdlMabpGuSrSF73zL2oUaymvxMF9I0SVPYOlF0PMwMzdv/u3uvLo0mdIQGivXau4H+NPA==" saltValue="y8A6IDv4QnoPZmZOgTCVCQ==" spinCount="100000" sheet="1" formatCells="0" formatColumns="0" formatRows="0" insertColumns="0" insertRows="0" insertHyperlinks="0" deleteColumns="0" deleteRows="0" sort="0" autoFilter="0" pivotTables="0"/>
  <mergeCells count="67">
    <mergeCell ref="N2:P2"/>
    <mergeCell ref="N4:P4"/>
    <mergeCell ref="N5:P5"/>
    <mergeCell ref="N7:P7"/>
    <mergeCell ref="K30:M30"/>
    <mergeCell ref="K25:M25"/>
    <mergeCell ref="K26:M26"/>
    <mergeCell ref="K27:M27"/>
    <mergeCell ref="K28:M28"/>
    <mergeCell ref="K29:M29"/>
    <mergeCell ref="J48:J50"/>
    <mergeCell ref="L60:L62"/>
    <mergeCell ref="L63:L65"/>
    <mergeCell ref="L42:L44"/>
    <mergeCell ref="L45:L47"/>
    <mergeCell ref="L48:L50"/>
    <mergeCell ref="L51:L53"/>
    <mergeCell ref="L54:L56"/>
    <mergeCell ref="L57:L59"/>
    <mergeCell ref="J51:J53"/>
    <mergeCell ref="J54:J56"/>
    <mergeCell ref="J60:J62"/>
    <mergeCell ref="J63:J65"/>
    <mergeCell ref="K57:K59"/>
    <mergeCell ref="K60:K62"/>
    <mergeCell ref="F54:F56"/>
    <mergeCell ref="K63:K65"/>
    <mergeCell ref="J57:J59"/>
    <mergeCell ref="I57:I59"/>
    <mergeCell ref="K42:K44"/>
    <mergeCell ref="K45:K47"/>
    <mergeCell ref="K48:K50"/>
    <mergeCell ref="K51:K53"/>
    <mergeCell ref="K54:K56"/>
    <mergeCell ref="I42:I44"/>
    <mergeCell ref="I45:I47"/>
    <mergeCell ref="I48:I50"/>
    <mergeCell ref="I51:I53"/>
    <mergeCell ref="I54:I56"/>
    <mergeCell ref="J42:J44"/>
    <mergeCell ref="J45:J47"/>
    <mergeCell ref="B42:B44"/>
    <mergeCell ref="B45:B47"/>
    <mergeCell ref="B48:B50"/>
    <mergeCell ref="B51:B53"/>
    <mergeCell ref="B54:B56"/>
    <mergeCell ref="E42:E44"/>
    <mergeCell ref="E45:E47"/>
    <mergeCell ref="E48:E50"/>
    <mergeCell ref="E51:E53"/>
    <mergeCell ref="E54:E56"/>
    <mergeCell ref="F42:F44"/>
    <mergeCell ref="F45:F47"/>
    <mergeCell ref="F48:F50"/>
    <mergeCell ref="F51:F53"/>
    <mergeCell ref="B69:L70"/>
    <mergeCell ref="B57:B59"/>
    <mergeCell ref="F60:F62"/>
    <mergeCell ref="F63:F65"/>
    <mergeCell ref="B60:B62"/>
    <mergeCell ref="B63:B65"/>
    <mergeCell ref="E57:E59"/>
    <mergeCell ref="E60:E62"/>
    <mergeCell ref="E63:E65"/>
    <mergeCell ref="F57:F59"/>
    <mergeCell ref="I60:I62"/>
    <mergeCell ref="I63:I65"/>
  </mergeCells>
  <conditionalFormatting sqref="O10">
    <cfRule type="notContainsBlanks" dxfId="3" priority="3">
      <formula>LEN(TRIM(O10))&gt;0</formula>
    </cfRule>
  </conditionalFormatting>
  <conditionalFormatting sqref="C10:N10">
    <cfRule type="notContainsBlanks" dxfId="2" priority="4">
      <formula>LEN(TRIM(C10))&gt;0</formula>
    </cfRule>
  </conditionalFormatting>
  <conditionalFormatting sqref="E31:E36">
    <cfRule type="containsText" dxfId="1" priority="1" operator="containsText" text="Repeat">
      <formula>NOT(ISERROR(SEARCH("Repeat",E31)))</formula>
    </cfRule>
    <cfRule type="containsText" dxfId="0" priority="2" operator="containsText" text="YES">
      <formula>NOT(ISERROR(SEARCH("YES",E31)))</formula>
    </cfRule>
  </conditionalFormatting>
  <dataValidations count="1">
    <dataValidation type="list" allowBlank="1" showInputMessage="1" showErrorMessage="1" sqref="K30:M30" xr:uid="{9D2E8715-EA09-4F07-8C13-CB38D81B44AB}">
      <formula1>"Automatic 96-well, Automatic 12-well strip, Automatic 8-well strip, Manual"</formula1>
    </dataValidation>
  </dataValidation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B6394-7D9C-4F99-B21E-A2AD9EDE4F92}">
  <dimension ref="A2:A65"/>
  <sheetViews>
    <sheetView workbookViewId="0">
      <selection activeCell="N77" sqref="N77"/>
    </sheetView>
  </sheetViews>
  <sheetFormatPr defaultRowHeight="15" x14ac:dyDescent="0.25"/>
  <cols>
    <col min="2" max="2" width="39.5703125" customWidth="1"/>
    <col min="3" max="3" width="10.140625" customWidth="1"/>
    <col min="4" max="4" width="11.42578125" customWidth="1"/>
    <col min="5" max="5" width="11.85546875" customWidth="1"/>
    <col min="6" max="6" width="9.5703125" customWidth="1"/>
    <col min="7" max="7" width="10.85546875" customWidth="1"/>
    <col min="8" max="8" width="10.140625" customWidth="1"/>
    <col min="9" max="9" width="11.140625" customWidth="1"/>
    <col min="10" max="10" width="26.140625" customWidth="1"/>
    <col min="11" max="11" width="11.140625" customWidth="1"/>
    <col min="12" max="12" width="14.7109375" customWidth="1"/>
    <col min="13" max="13" width="12.28515625" customWidth="1"/>
    <col min="14" max="14" width="11.140625" customWidth="1"/>
    <col min="16" max="16" width="10.7109375" customWidth="1"/>
  </cols>
  <sheetData>
    <row r="2" ht="17.25" customHeight="1" x14ac:dyDescent="0.25"/>
    <row r="10" ht="15.75" customHeight="1" x14ac:dyDescent="0.25"/>
    <row r="11" ht="31.5" customHeight="1" x14ac:dyDescent="0.25"/>
    <row r="12" ht="15.75" customHeight="1" x14ac:dyDescent="0.25"/>
    <row r="15" ht="15.75" customHeight="1" x14ac:dyDescent="0.25"/>
    <row r="16" ht="15" customHeight="1" x14ac:dyDescent="0.25"/>
    <row r="18" ht="15" customHeight="1" x14ac:dyDescent="0.25"/>
    <row r="22" ht="15.75" customHeight="1" x14ac:dyDescent="0.25"/>
    <row r="23" ht="25.5" customHeight="1" x14ac:dyDescent="0.25"/>
    <row r="24" ht="15" customHeight="1" x14ac:dyDescent="0.25"/>
    <row r="26" ht="17.25" customHeight="1" x14ac:dyDescent="0.25"/>
    <row r="27" ht="16.5" customHeight="1" x14ac:dyDescent="0.25"/>
    <row r="28" ht="17.25" customHeight="1" x14ac:dyDescent="0.25"/>
    <row r="29" ht="16.5" customHeight="1" x14ac:dyDescent="0.25"/>
    <row r="30" ht="16.5" customHeight="1" x14ac:dyDescent="0.25"/>
    <row r="31" ht="15.75" customHeight="1" x14ac:dyDescent="0.25"/>
    <row r="32" ht="17.25" customHeight="1" x14ac:dyDescent="0.25"/>
    <row r="33" ht="15.75" customHeight="1" x14ac:dyDescent="0.25"/>
    <row r="34" ht="30.75" customHeight="1" x14ac:dyDescent="0.25"/>
    <row r="35" ht="15.75" customHeight="1" x14ac:dyDescent="0.25"/>
    <row r="36" ht="13.5" customHeight="1" x14ac:dyDescent="0.25"/>
    <row r="37" ht="16.5" customHeight="1" x14ac:dyDescent="0.25"/>
    <row r="38" ht="16.5" customHeight="1" x14ac:dyDescent="0.25"/>
    <row r="39" ht="15" customHeight="1" x14ac:dyDescent="0.25"/>
    <row r="40" ht="20.25" customHeight="1" x14ac:dyDescent="0.25"/>
    <row r="41" ht="44.25" customHeight="1" x14ac:dyDescent="0.25"/>
    <row r="44" ht="16.5" customHeight="1" x14ac:dyDescent="0.25"/>
    <row r="46" ht="15.75" customHeight="1" x14ac:dyDescent="0.25"/>
    <row r="47" ht="16.5" customHeight="1" x14ac:dyDescent="0.25"/>
    <row r="49" ht="16.5" customHeight="1" x14ac:dyDescent="0.25"/>
    <row r="51" ht="15.75" customHeight="1" x14ac:dyDescent="0.25"/>
    <row r="52" ht="15.75" customHeight="1" x14ac:dyDescent="0.25"/>
    <row r="53" ht="16.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6.5" customHeight="1" x14ac:dyDescent="0.25"/>
    <row r="61" ht="15.75" customHeight="1" x14ac:dyDescent="0.25"/>
    <row r="62" ht="16.5" customHeight="1" x14ac:dyDescent="0.25"/>
    <row r="64" ht="16.5" customHeight="1" x14ac:dyDescent="0.25"/>
    <row r="65" ht="15" customHeight="1" x14ac:dyDescent="0.25"/>
  </sheetData>
  <sheetProtection algorithmName="SHA-512" hashValue="ZHLvEE6ODgurZMPU2Uw7g8TMY95cds5SywFCGuw+tp21r5r97AvmZqi0RIxWvD3KgcMELdqeucUX90/6qzfCgA==" saltValue="LCPaJ/Mi51nBVtz2VRVlKA==" spinCount="100000" sheet="1" objects="1" scenarios="1" selectLockedCells="1" selectUnlockedCells="1"/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7"/>
  <sheetViews>
    <sheetView zoomScaleNormal="100" workbookViewId="0">
      <selection activeCell="H33" sqref="H33"/>
    </sheetView>
  </sheetViews>
  <sheetFormatPr defaultColWidth="9.140625" defaultRowHeight="15" x14ac:dyDescent="0.25"/>
  <cols>
    <col min="1" max="2" width="9.140625" style="1"/>
    <col min="3" max="3" width="18.85546875" style="1" customWidth="1"/>
    <col min="4" max="4" width="9.140625" style="1"/>
    <col min="5" max="5" width="23.28515625" style="1" customWidth="1"/>
    <col min="6" max="6" width="25.5703125" style="1" customWidth="1"/>
    <col min="7" max="7" width="31" style="1" customWidth="1"/>
    <col min="8" max="8" width="43.28515625" style="1" customWidth="1"/>
    <col min="9" max="9" width="31.5703125" style="1" customWidth="1"/>
    <col min="10" max="10" width="23.140625" style="1" customWidth="1"/>
    <col min="11" max="11" width="22" style="25" customWidth="1"/>
    <col min="12" max="12" width="20.42578125" style="1" customWidth="1"/>
    <col min="13" max="13" width="26.42578125" style="1" customWidth="1"/>
    <col min="14" max="16384" width="9.140625" style="1"/>
  </cols>
  <sheetData>
    <row r="1" spans="1:11" x14ac:dyDescent="0.25">
      <c r="A1" s="1" t="s">
        <v>39</v>
      </c>
      <c r="B1" s="1" t="s">
        <v>6</v>
      </c>
      <c r="C1" s="1" t="s">
        <v>43</v>
      </c>
      <c r="E1" s="1" t="s">
        <v>44</v>
      </c>
      <c r="F1" s="1" t="s">
        <v>48</v>
      </c>
      <c r="G1" s="1" t="s">
        <v>49</v>
      </c>
      <c r="H1" s="1" t="s">
        <v>68</v>
      </c>
      <c r="I1" s="25"/>
      <c r="K1" s="1"/>
    </row>
    <row r="2" spans="1:11" x14ac:dyDescent="0.25">
      <c r="A2" s="1" t="s">
        <v>14</v>
      </c>
      <c r="B2" s="26" t="e">
        <f>'YF MAC-ON'!K15</f>
        <v>#DIV/0!</v>
      </c>
      <c r="C2" s="26" t="e">
        <f>MAX(B2:B4)</f>
        <v>#DIV/0!</v>
      </c>
      <c r="D2" s="1" t="s">
        <v>45</v>
      </c>
      <c r="E2" s="1" t="e">
        <f>C2-C3</f>
        <v>#DIV/0!</v>
      </c>
      <c r="F2" s="1" t="e">
        <f>IF(E2&lt;0.3,(C2+C3)/2,0)</f>
        <v>#DIV/0!</v>
      </c>
      <c r="G2" s="1" t="e">
        <f>IF(AND(E2&lt;0.3,E3&lt;0.3),(B2+B3+B4)/3,0)</f>
        <v>#DIV/0!</v>
      </c>
      <c r="H2" s="25" t="e">
        <f>IF(G2&gt;0,G2,(MAX(F2:F3)))</f>
        <v>#DIV/0!</v>
      </c>
      <c r="I2" s="25"/>
      <c r="K2" s="1"/>
    </row>
    <row r="3" spans="1:11" x14ac:dyDescent="0.25">
      <c r="A3" s="5" t="s">
        <v>15</v>
      </c>
      <c r="B3" s="5" t="e">
        <f>'YF MAC-ON'!K16</f>
        <v>#DIV/0!</v>
      </c>
      <c r="C3" s="4" t="e">
        <f>MEDIAN(B2:B4)</f>
        <v>#DIV/0!</v>
      </c>
      <c r="D3" s="5" t="s">
        <v>46</v>
      </c>
      <c r="E3" s="1" t="e">
        <f>C3-C4</f>
        <v>#DIV/0!</v>
      </c>
      <c r="F3" s="1" t="e">
        <f>IF(E3&lt;0.3,(C3+C4)/2,0)</f>
        <v>#DIV/0!</v>
      </c>
      <c r="H3" s="25"/>
      <c r="I3" s="25"/>
      <c r="K3" s="1"/>
    </row>
    <row r="4" spans="1:11" x14ac:dyDescent="0.25">
      <c r="A4" s="5" t="s">
        <v>96</v>
      </c>
      <c r="B4" s="5" t="e">
        <f>'YF MAC-ON'!K17</f>
        <v>#DIV/0!</v>
      </c>
      <c r="C4" s="4" t="e">
        <f>MIN(B2:B4)</f>
        <v>#DIV/0!</v>
      </c>
      <c r="D4" s="1" t="s">
        <v>47</v>
      </c>
      <c r="H4" s="25"/>
      <c r="I4" s="25"/>
      <c r="K4" s="1"/>
    </row>
    <row r="5" spans="1:11" x14ac:dyDescent="0.25">
      <c r="A5" s="5" t="s">
        <v>7</v>
      </c>
      <c r="B5" s="5" t="s">
        <v>8</v>
      </c>
      <c r="C5" s="4"/>
      <c r="F5" s="1" t="s">
        <v>50</v>
      </c>
      <c r="G5" s="1" t="e">
        <f>MIN(E2:E3)</f>
        <v>#DIV/0!</v>
      </c>
      <c r="H5" s="25" t="e">
        <f>IF(H2&gt;0,"Valid","Not valid")</f>
        <v>#DIV/0!</v>
      </c>
      <c r="K5" s="1"/>
    </row>
    <row r="6" spans="1:11" x14ac:dyDescent="0.25">
      <c r="A6" s="4"/>
      <c r="B6" s="5"/>
      <c r="C6" s="4"/>
      <c r="G6" s="1" t="e">
        <f>IF(G2&gt;0,G2,MAX(F2:F3))</f>
        <v>#DIV/0!</v>
      </c>
      <c r="H6" s="25"/>
      <c r="K6" s="29"/>
    </row>
    <row r="7" spans="1:11" x14ac:dyDescent="0.25">
      <c r="F7" s="1" t="s">
        <v>51</v>
      </c>
      <c r="G7" s="1" t="e">
        <f>IF(AND(ISNUMBER(G6),(G6&gt;0)),G6,"N/A")</f>
        <v>#DIV/0!</v>
      </c>
      <c r="H7" s="25" t="e">
        <f>IF(AND(ISNUMBER(G7),(G7&gt;=0.6)),"Valid","Not valid")</f>
        <v>#DIV/0!</v>
      </c>
      <c r="K7" s="1"/>
    </row>
    <row r="8" spans="1:11" x14ac:dyDescent="0.25">
      <c r="F8" s="1" t="s">
        <v>62</v>
      </c>
      <c r="G8" s="1" t="str">
        <f>IF(ISNUMBER(G7),(ROUNDDOWN(G7,3)),"N/A")</f>
        <v>N/A</v>
      </c>
      <c r="H8" s="25"/>
      <c r="K8" s="1"/>
    </row>
    <row r="9" spans="1:11" x14ac:dyDescent="0.25">
      <c r="H9" s="25"/>
      <c r="K9" s="1"/>
    </row>
    <row r="10" spans="1:11" x14ac:dyDescent="0.25">
      <c r="A10" s="1" t="s">
        <v>41</v>
      </c>
      <c r="B10" s="1" t="s">
        <v>6</v>
      </c>
      <c r="C10" s="1" t="s">
        <v>43</v>
      </c>
      <c r="E10" s="1" t="s">
        <v>44</v>
      </c>
      <c r="F10" s="1" t="s">
        <v>52</v>
      </c>
      <c r="G10" s="1" t="s">
        <v>49</v>
      </c>
      <c r="H10" s="1" t="s">
        <v>68</v>
      </c>
      <c r="K10" s="1"/>
    </row>
    <row r="11" spans="1:11" x14ac:dyDescent="0.25">
      <c r="A11" s="1" t="s">
        <v>97</v>
      </c>
      <c r="B11" s="26" t="e">
        <f>'YF MAC-ON'!K18</f>
        <v>#DIV/0!</v>
      </c>
      <c r="C11" s="26" t="e">
        <f>MAX(B11:B13)</f>
        <v>#DIV/0!</v>
      </c>
      <c r="D11" s="1" t="s">
        <v>45</v>
      </c>
      <c r="E11" s="1" t="e">
        <f>C11-C12</f>
        <v>#DIV/0!</v>
      </c>
      <c r="F11" s="1" t="e">
        <f>IF(E11&lt;0.025,(C11+C12)/2,0)</f>
        <v>#DIV/0!</v>
      </c>
      <c r="G11" s="1" t="e">
        <f>IF(AND(E11&lt;0.025,E12&lt;0.025),(B11+B12+B13)/3,0)</f>
        <v>#DIV/0!</v>
      </c>
      <c r="H11" s="25" t="e">
        <f>IF(G11&gt;0,G11,(MAX(F11+F12)))</f>
        <v>#DIV/0!</v>
      </c>
      <c r="I11" s="25"/>
      <c r="K11" s="1"/>
    </row>
    <row r="12" spans="1:11" x14ac:dyDescent="0.25">
      <c r="A12" s="1" t="s">
        <v>98</v>
      </c>
      <c r="B12" s="5" t="e">
        <f>'YF MAC-ON'!K19</f>
        <v>#DIV/0!</v>
      </c>
      <c r="C12" s="4" t="e">
        <f>MEDIAN(B11:B13)</f>
        <v>#DIV/0!</v>
      </c>
      <c r="D12" s="5" t="s">
        <v>46</v>
      </c>
      <c r="E12" s="1" t="e">
        <f>C12-C13</f>
        <v>#DIV/0!</v>
      </c>
      <c r="F12" s="1" t="e">
        <f>IF(E12&lt;0.025,(C12+C13)/2,0)</f>
        <v>#DIV/0!</v>
      </c>
      <c r="H12" s="25"/>
      <c r="K12" s="1"/>
    </row>
    <row r="13" spans="1:11" x14ac:dyDescent="0.25">
      <c r="A13" s="1" t="s">
        <v>99</v>
      </c>
      <c r="B13" s="5" t="e">
        <f>'YF MAC-ON'!K20</f>
        <v>#DIV/0!</v>
      </c>
      <c r="C13" s="4" t="e">
        <f>MIN(B11:B13)</f>
        <v>#DIV/0!</v>
      </c>
      <c r="D13" s="1" t="s">
        <v>47</v>
      </c>
      <c r="H13" s="25"/>
      <c r="K13" s="1"/>
    </row>
    <row r="14" spans="1:11" x14ac:dyDescent="0.25">
      <c r="A14" s="5" t="s">
        <v>7</v>
      </c>
      <c r="B14" s="5" t="s">
        <v>8</v>
      </c>
      <c r="C14" s="4"/>
      <c r="F14" s="1" t="s">
        <v>53</v>
      </c>
      <c r="G14" s="1" t="e">
        <f>MIN(E11:E12)</f>
        <v>#DIV/0!</v>
      </c>
      <c r="H14" s="25" t="e">
        <f>IF(H11&gt;0,"Valid","&gt;NCVA-VL")</f>
        <v>#DIV/0!</v>
      </c>
      <c r="K14" s="1"/>
    </row>
    <row r="15" spans="1:11" x14ac:dyDescent="0.25">
      <c r="A15" s="4"/>
      <c r="B15" s="5"/>
      <c r="C15" s="4"/>
      <c r="G15" s="1" t="e">
        <f>IF(G11&gt;0,G11,MAX(F11:F12))</f>
        <v>#DIV/0!</v>
      </c>
      <c r="H15" s="25"/>
      <c r="K15" s="1"/>
    </row>
    <row r="16" spans="1:11" x14ac:dyDescent="0.25">
      <c r="F16" s="1" t="s">
        <v>65</v>
      </c>
      <c r="G16" s="1" t="e">
        <f>IF(G15=0,"N/A",G15)</f>
        <v>#DIV/0!</v>
      </c>
      <c r="H16" s="25" t="e">
        <f>IF(AND(ISNUMBER(G16),(G16&lt;0.2)),"Valid","Not Valid")</f>
        <v>#DIV/0!</v>
      </c>
      <c r="K16" s="1"/>
    </row>
    <row r="17" spans="1:9" s="1" customFormat="1" x14ac:dyDescent="0.25">
      <c r="F17" s="1" t="s">
        <v>54</v>
      </c>
      <c r="G17" s="1" t="e">
        <f>IF(G15&gt;=0.05,G15,0.05)</f>
        <v>#DIV/0!</v>
      </c>
      <c r="H17" s="27" t="e">
        <f>IF(G16=G17,"Valid",H16)</f>
        <v>#DIV/0!</v>
      </c>
    </row>
    <row r="18" spans="1:9" s="1" customFormat="1" x14ac:dyDescent="0.25">
      <c r="F18" s="1" t="s">
        <v>64</v>
      </c>
      <c r="G18" s="1" t="e">
        <f>IF(G16="N/A","N/A",G17)</f>
        <v>#DIV/0!</v>
      </c>
    </row>
    <row r="19" spans="1:9" s="1" customFormat="1" x14ac:dyDescent="0.25"/>
    <row r="20" spans="1:9" s="1" customFormat="1" x14ac:dyDescent="0.25">
      <c r="A20" s="1" t="s">
        <v>57</v>
      </c>
      <c r="B20" s="1" t="s">
        <v>6</v>
      </c>
      <c r="C20" s="1" t="s">
        <v>43</v>
      </c>
      <c r="E20" s="1" t="s">
        <v>44</v>
      </c>
      <c r="F20" s="1" t="s">
        <v>48</v>
      </c>
      <c r="G20" s="1" t="s">
        <v>49</v>
      </c>
      <c r="H20" s="1" t="s">
        <v>68</v>
      </c>
      <c r="I20" s="14" t="s">
        <v>61</v>
      </c>
    </row>
    <row r="21" spans="1:9" s="1" customFormat="1" x14ac:dyDescent="0.25">
      <c r="A21" s="1" t="s">
        <v>100</v>
      </c>
      <c r="B21" s="1" t="e">
        <f>'YF MAC-ON'!L15</f>
        <v>#DIV/0!</v>
      </c>
      <c r="C21" s="1" t="e">
        <f>MAX(B21:B23)</f>
        <v>#DIV/0!</v>
      </c>
      <c r="D21" s="1" t="s">
        <v>45</v>
      </c>
      <c r="E21" s="1" t="e">
        <f>C21-C22</f>
        <v>#DIV/0!</v>
      </c>
      <c r="F21" s="1" t="e">
        <f>IF(E21&lt;0.3,AVERAGE(C21:C22),0)</f>
        <v>#DIV/0!</v>
      </c>
      <c r="G21" s="28" t="e">
        <f>IF(AND(E21:E22&lt;0.3),AVERAGE(B21:B23),0)</f>
        <v>#DIV/0!</v>
      </c>
      <c r="H21" s="25" t="e">
        <f>IF(G21&gt;0,G21,(MAX(F21:F22)))</f>
        <v>#DIV/0!</v>
      </c>
      <c r="I21" s="25" t="e">
        <f>IF(AND(F21,F22),0,(B21+B22+B23)/3)</f>
        <v>#DIV/0!</v>
      </c>
    </row>
    <row r="22" spans="1:9" s="1" customFormat="1" x14ac:dyDescent="0.25">
      <c r="A22" s="1" t="s">
        <v>101</v>
      </c>
      <c r="B22" s="1" t="e">
        <f>'YF MAC-ON'!L16</f>
        <v>#DIV/0!</v>
      </c>
      <c r="C22" s="1" t="e">
        <f>MEDIAN(B21:B23)</f>
        <v>#DIV/0!</v>
      </c>
      <c r="D22" s="1" t="s">
        <v>46</v>
      </c>
      <c r="E22" s="1" t="e">
        <f>C22-C23</f>
        <v>#DIV/0!</v>
      </c>
      <c r="F22" s="1" t="e">
        <f>IF(E22&lt;0.3,AVERAGE(C22:C23),0)</f>
        <v>#DIV/0!</v>
      </c>
      <c r="H22" s="25"/>
    </row>
    <row r="23" spans="1:9" s="1" customFormat="1" x14ac:dyDescent="0.25">
      <c r="A23" s="1" t="s">
        <v>102</v>
      </c>
      <c r="B23" s="1" t="e">
        <f>'YF MAC-ON'!L17</f>
        <v>#DIV/0!</v>
      </c>
      <c r="C23" s="1" t="e">
        <f>MIN(B21:B23)</f>
        <v>#DIV/0!</v>
      </c>
      <c r="D23" s="1" t="s">
        <v>47</v>
      </c>
      <c r="H23" s="25"/>
    </row>
    <row r="24" spans="1:9" s="1" customFormat="1" x14ac:dyDescent="0.25">
      <c r="A24" s="1" t="s">
        <v>7</v>
      </c>
      <c r="B24" s="1" t="s">
        <v>8</v>
      </c>
      <c r="F24" s="1" t="s">
        <v>56</v>
      </c>
      <c r="G24" s="1" t="e">
        <f>MIN(E21:E22)</f>
        <v>#DIV/0!</v>
      </c>
      <c r="H24" s="25"/>
    </row>
    <row r="25" spans="1:9" s="1" customFormat="1" x14ac:dyDescent="0.25">
      <c r="G25" s="1" t="e">
        <f>IF(G21&gt;0,G21,(MAX(F21:F22)))</f>
        <v>#DIV/0!</v>
      </c>
      <c r="H25" s="25"/>
    </row>
    <row r="26" spans="1:9" s="1" customFormat="1" x14ac:dyDescent="0.25">
      <c r="G26" s="1" t="e">
        <f>IF(G21&gt;0,G21,H21)</f>
        <v>#DIV/0!</v>
      </c>
      <c r="H26" s="25"/>
    </row>
    <row r="27" spans="1:9" s="1" customFormat="1" x14ac:dyDescent="0.25">
      <c r="F27" s="1" t="s">
        <v>55</v>
      </c>
      <c r="G27" s="1" t="e">
        <f>IF(G26&gt;0,G26,I21)</f>
        <v>#DIV/0!</v>
      </c>
    </row>
  </sheetData>
  <sheetProtection selectLockedCells="1" selectUnlockedCells="1"/>
  <pageMargins left="0.7" right="0.7" top="0.75" bottom="0.75" header="0.3" footer="0.3"/>
  <pageSetup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Instructions</vt:lpstr>
      <vt:lpstr>Spreadsheet explanation</vt:lpstr>
      <vt:lpstr>YF MAC-HD</vt:lpstr>
      <vt:lpstr>YF MAC-HD control check</vt:lpstr>
      <vt:lpstr>Example YF MAC-HD (Spanish)</vt:lpstr>
      <vt:lpstr>YF MAC-ON</vt:lpstr>
      <vt:lpstr>Example YF MAC-ON (Spanish)</vt:lpstr>
      <vt:lpstr>YF MAC-ON control check</vt:lpstr>
      <vt:lpstr>Instructions!Print_Area</vt:lpstr>
      <vt:lpstr>'Spreadsheet explanation'!Print_Area</vt:lpstr>
      <vt:lpstr>'YF MAC-HD'!Print_Area</vt:lpstr>
      <vt:lpstr>'YF MAC-HD control check'!Print_Area</vt:lpstr>
      <vt:lpstr>'YF MAC-ON'!Print_Area</vt:lpstr>
      <vt:lpstr>'YF MAC-ON control check'!Print_Area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Kallie Horiuchi</dc:creator>
  <cp:lastModifiedBy>Alvey, Katherine</cp:lastModifiedBy>
  <cp:lastPrinted>2022-11-02T17:25:10Z</cp:lastPrinted>
  <dcterms:created xsi:type="dcterms:W3CDTF">2016-02-16T18:15:52Z</dcterms:created>
  <dcterms:modified xsi:type="dcterms:W3CDTF">2024-06-19T14:46:08Z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2020-11-16T23:31:52Z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65266b06-3e15-4cce-a7a5-05736b2c2bcd</vt:lpwstr>
  </property>
  <property fmtid="{D5CDD505-2E9C-101B-9397-08002B2CF9AE}" pid="8" name="MSIP_Label_7b94a7b8-f06c-4dfe-bdcc-9b548fd58c31_ContentBits">
    <vt:lpwstr>0</vt:lpwstr>
  </property>
</Properties>
</file>